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filterPrivacy="1" checkCompatibility="1" defaultThemeVersion="124226"/>
  <bookViews>
    <workbookView xWindow="0" yWindow="0" windowWidth="25200" windowHeight="11385" activeTab="3"/>
  </bookViews>
  <sheets>
    <sheet name="Mitarbeiter Löhne" sheetId="12" r:id="rId1"/>
    <sheet name="Mitarbeiter Gehälter" sheetId="6" r:id="rId2"/>
    <sheet name="Stundenabrechnung Arbeiter" sheetId="11" r:id="rId3"/>
    <sheet name="Auswertung" sheetId="14" r:id="rId4"/>
    <sheet name="Formeln Stundenabrechnung" sheetId="13" r:id="rId5"/>
  </sheets>
  <calcPr calcId="162913"/>
</workbook>
</file>

<file path=xl/calcChain.xml><?xml version="1.0" encoding="utf-8"?>
<calcChain xmlns="http://schemas.openxmlformats.org/spreadsheetml/2006/main">
  <c r="F7" i="14" l="1"/>
  <c r="E7" i="14"/>
  <c r="D7" i="14"/>
  <c r="C7" i="14"/>
  <c r="C15" i="14" l="1"/>
  <c r="C14" i="14"/>
  <c r="D13" i="14"/>
  <c r="E13" i="14"/>
  <c r="F13" i="14"/>
  <c r="C13" i="14"/>
  <c r="C8" i="14"/>
  <c r="J28" i="11"/>
  <c r="D22" i="14"/>
  <c r="E22" i="14"/>
  <c r="F22" i="14"/>
  <c r="D19" i="14"/>
  <c r="E19" i="14"/>
  <c r="F19" i="14"/>
  <c r="D15" i="14"/>
  <c r="E15" i="14"/>
  <c r="F15" i="14"/>
  <c r="D14" i="14"/>
  <c r="E14" i="14"/>
  <c r="F14" i="14"/>
  <c r="F8" i="14"/>
  <c r="E8" i="14"/>
  <c r="D8" i="14"/>
  <c r="F6" i="14"/>
  <c r="E6" i="14"/>
  <c r="D6" i="14"/>
  <c r="C6" i="14"/>
  <c r="C22" i="14" l="1"/>
  <c r="C19" i="14"/>
  <c r="F26" i="13"/>
  <c r="H26" i="13" s="1"/>
  <c r="J26" i="13" s="1"/>
  <c r="E26" i="13"/>
  <c r="I26" i="13" s="1"/>
  <c r="D26" i="13"/>
  <c r="C26" i="13"/>
  <c r="F25" i="13"/>
  <c r="H25" i="13" s="1"/>
  <c r="E25" i="13"/>
  <c r="I25" i="13" s="1"/>
  <c r="D25" i="13"/>
  <c r="C25" i="13"/>
  <c r="F24" i="13"/>
  <c r="H24" i="13" s="1"/>
  <c r="J24" i="13" s="1"/>
  <c r="E24" i="13"/>
  <c r="I24" i="13" s="1"/>
  <c r="D24" i="13"/>
  <c r="C24" i="13"/>
  <c r="F23" i="13"/>
  <c r="H23" i="13" s="1"/>
  <c r="J23" i="13" s="1"/>
  <c r="E23" i="13"/>
  <c r="I23" i="13" s="1"/>
  <c r="D23" i="13"/>
  <c r="C23" i="13"/>
  <c r="F22" i="13"/>
  <c r="H22" i="13" s="1"/>
  <c r="J22" i="13" s="1"/>
  <c r="E22" i="13"/>
  <c r="I22" i="13" s="1"/>
  <c r="D22" i="13"/>
  <c r="C22" i="13"/>
  <c r="F21" i="13"/>
  <c r="H21" i="13" s="1"/>
  <c r="J21" i="13" s="1"/>
  <c r="E21" i="13"/>
  <c r="I21" i="13" s="1"/>
  <c r="D21" i="13"/>
  <c r="C21" i="13"/>
  <c r="F20" i="13"/>
  <c r="H20" i="13" s="1"/>
  <c r="J20" i="13" s="1"/>
  <c r="E20" i="13"/>
  <c r="I20" i="13" s="1"/>
  <c r="D20" i="13"/>
  <c r="C20" i="13"/>
  <c r="F19" i="13"/>
  <c r="H19" i="13" s="1"/>
  <c r="J19" i="13" s="1"/>
  <c r="E19" i="13"/>
  <c r="I19" i="13" s="1"/>
  <c r="D19" i="13"/>
  <c r="C19" i="13"/>
  <c r="F18" i="13"/>
  <c r="H18" i="13" s="1"/>
  <c r="J18" i="13" s="1"/>
  <c r="E18" i="13"/>
  <c r="I18" i="13" s="1"/>
  <c r="D18" i="13"/>
  <c r="C18" i="13"/>
  <c r="F17" i="13"/>
  <c r="H17" i="13" s="1"/>
  <c r="J17" i="13" s="1"/>
  <c r="E17" i="13"/>
  <c r="I17" i="13" s="1"/>
  <c r="D17" i="13"/>
  <c r="C17" i="13"/>
  <c r="F16" i="13"/>
  <c r="H16" i="13" s="1"/>
  <c r="J16" i="13" s="1"/>
  <c r="E16" i="13"/>
  <c r="I16" i="13" s="1"/>
  <c r="D16" i="13"/>
  <c r="C16" i="13"/>
  <c r="F15" i="13"/>
  <c r="H15" i="13" s="1"/>
  <c r="E15" i="13"/>
  <c r="I15" i="13" s="1"/>
  <c r="D15" i="13"/>
  <c r="C15" i="13"/>
  <c r="I14" i="13"/>
  <c r="F14" i="13"/>
  <c r="H14" i="13" s="1"/>
  <c r="E14" i="13"/>
  <c r="D14" i="13"/>
  <c r="C14" i="13"/>
  <c r="F13" i="13"/>
  <c r="H13" i="13" s="1"/>
  <c r="E13" i="13"/>
  <c r="I13" i="13" s="1"/>
  <c r="D13" i="13"/>
  <c r="C13" i="13"/>
  <c r="F12" i="13"/>
  <c r="H12" i="13" s="1"/>
  <c r="E12" i="13"/>
  <c r="I12" i="13" s="1"/>
  <c r="D12" i="13"/>
  <c r="C12" i="13"/>
  <c r="F11" i="13"/>
  <c r="H11" i="13" s="1"/>
  <c r="E11" i="13"/>
  <c r="I11" i="13" s="1"/>
  <c r="D11" i="13"/>
  <c r="C11" i="13"/>
  <c r="F10" i="13"/>
  <c r="H10" i="13" s="1"/>
  <c r="E10" i="13"/>
  <c r="I10" i="13" s="1"/>
  <c r="D10" i="13"/>
  <c r="C10" i="13"/>
  <c r="F9" i="13"/>
  <c r="H9" i="13" s="1"/>
  <c r="E9" i="13"/>
  <c r="I9" i="13" s="1"/>
  <c r="D9" i="13"/>
  <c r="C9" i="13"/>
  <c r="F8" i="13"/>
  <c r="H8" i="13" s="1"/>
  <c r="E8" i="13"/>
  <c r="I8" i="13" s="1"/>
  <c r="D8" i="13"/>
  <c r="C8" i="13"/>
  <c r="I7" i="13"/>
  <c r="F7" i="13"/>
  <c r="H7" i="13" s="1"/>
  <c r="E7" i="13"/>
  <c r="D7" i="13"/>
  <c r="C7" i="13"/>
  <c r="I6" i="13"/>
  <c r="F6" i="13"/>
  <c r="E6" i="13"/>
  <c r="D6" i="13"/>
  <c r="C6" i="13"/>
  <c r="O14" i="13" l="1"/>
  <c r="N15" i="13"/>
  <c r="J9" i="13"/>
  <c r="J13" i="13"/>
  <c r="N13" i="13" s="1"/>
  <c r="Q14" i="13"/>
  <c r="J15" i="13"/>
  <c r="J8" i="13"/>
  <c r="J12" i="13"/>
  <c r="Q13" i="13" s="1"/>
  <c r="N8" i="13"/>
  <c r="J10" i="13"/>
  <c r="J14" i="13"/>
  <c r="J7" i="13"/>
  <c r="O6" i="13" s="1"/>
  <c r="J11" i="13"/>
  <c r="Q15" i="13"/>
  <c r="J25" i="13"/>
  <c r="O15" i="13"/>
  <c r="O22" i="13" s="1"/>
  <c r="O7" i="13"/>
  <c r="O19" i="13" s="1"/>
  <c r="O8" i="13"/>
  <c r="P7" i="13"/>
  <c r="P8" i="13"/>
  <c r="P14" i="13"/>
  <c r="P15" i="13"/>
  <c r="Q8" i="13"/>
  <c r="Q6" i="13"/>
  <c r="Q7" i="13"/>
  <c r="H6" i="13"/>
  <c r="J6" i="13" s="1"/>
  <c r="P6" i="13" s="1"/>
  <c r="N7" i="13"/>
  <c r="N19" i="13" s="1"/>
  <c r="N14" i="13"/>
  <c r="N22" i="13" s="1"/>
  <c r="E13" i="11"/>
  <c r="I13" i="11" s="1"/>
  <c r="E15" i="11"/>
  <c r="I15" i="11" s="1"/>
  <c r="E18" i="11"/>
  <c r="I18" i="11" s="1"/>
  <c r="E8" i="11"/>
  <c r="I8" i="11" s="1"/>
  <c r="E25" i="11"/>
  <c r="I25" i="11" s="1"/>
  <c r="E20" i="11"/>
  <c r="I20" i="11" s="1"/>
  <c r="E16" i="11"/>
  <c r="I16" i="11" s="1"/>
  <c r="E14" i="11"/>
  <c r="I14" i="11" s="1"/>
  <c r="E7" i="11"/>
  <c r="I7" i="11" s="1"/>
  <c r="E19" i="11"/>
  <c r="I19" i="11" s="1"/>
  <c r="E17" i="11"/>
  <c r="I17" i="11" s="1"/>
  <c r="E12" i="11"/>
  <c r="I12" i="11" s="1"/>
  <c r="E9" i="11"/>
  <c r="I9" i="11" s="1"/>
  <c r="E22" i="11"/>
  <c r="I22" i="11" s="1"/>
  <c r="E23" i="11"/>
  <c r="I23" i="11" s="1"/>
  <c r="E21" i="11"/>
  <c r="I21" i="11" s="1"/>
  <c r="E26" i="11"/>
  <c r="I26" i="11" s="1"/>
  <c r="E24" i="11"/>
  <c r="I24" i="11" s="1"/>
  <c r="E10" i="11"/>
  <c r="I10" i="11" s="1"/>
  <c r="E6" i="11"/>
  <c r="F13" i="11"/>
  <c r="H13" i="11" s="1"/>
  <c r="J13" i="11" s="1"/>
  <c r="F15" i="11"/>
  <c r="H15" i="11" s="1"/>
  <c r="J15" i="11" s="1"/>
  <c r="F18" i="11"/>
  <c r="H18" i="11" s="1"/>
  <c r="J18" i="11" s="1"/>
  <c r="F8" i="11"/>
  <c r="H8" i="11" s="1"/>
  <c r="F25" i="11"/>
  <c r="H25" i="11" s="1"/>
  <c r="J25" i="11" s="1"/>
  <c r="F20" i="11"/>
  <c r="H20" i="11" s="1"/>
  <c r="J20" i="11" s="1"/>
  <c r="F16" i="11"/>
  <c r="H16" i="11" s="1"/>
  <c r="J16" i="11" s="1"/>
  <c r="F14" i="11"/>
  <c r="H14" i="11" s="1"/>
  <c r="F7" i="11"/>
  <c r="H7" i="11" s="1"/>
  <c r="J7" i="11" s="1"/>
  <c r="F19" i="11"/>
  <c r="H19" i="11" s="1"/>
  <c r="J19" i="11" s="1"/>
  <c r="F17" i="11"/>
  <c r="H17" i="11" s="1"/>
  <c r="F12" i="11"/>
  <c r="H12" i="11" s="1"/>
  <c r="F9" i="11"/>
  <c r="H9" i="11" s="1"/>
  <c r="J9" i="11" s="1"/>
  <c r="F22" i="11"/>
  <c r="H22" i="11" s="1"/>
  <c r="J22" i="11" s="1"/>
  <c r="F23" i="11"/>
  <c r="H23" i="11" s="1"/>
  <c r="F21" i="11"/>
  <c r="H21" i="11" s="1"/>
  <c r="F26" i="11"/>
  <c r="H26" i="11" s="1"/>
  <c r="J26" i="11" s="1"/>
  <c r="F24" i="11"/>
  <c r="H24" i="11" s="1"/>
  <c r="J24" i="11" s="1"/>
  <c r="F10" i="11"/>
  <c r="H10" i="11" s="1"/>
  <c r="J10" i="11" s="1"/>
  <c r="F6" i="11"/>
  <c r="H6" i="11" s="1"/>
  <c r="F11" i="11"/>
  <c r="H11" i="11" s="1"/>
  <c r="E11" i="11"/>
  <c r="I11" i="11" s="1"/>
  <c r="D13" i="11"/>
  <c r="D15" i="11"/>
  <c r="D18" i="11"/>
  <c r="D8" i="11"/>
  <c r="D25" i="11"/>
  <c r="D20" i="11"/>
  <c r="D16" i="11"/>
  <c r="D14" i="11"/>
  <c r="D7" i="11"/>
  <c r="D19" i="11"/>
  <c r="D17" i="11"/>
  <c r="D12" i="11"/>
  <c r="D9" i="11"/>
  <c r="D22" i="11"/>
  <c r="D23" i="11"/>
  <c r="D21" i="11"/>
  <c r="D26" i="11"/>
  <c r="D24" i="11"/>
  <c r="D10" i="11"/>
  <c r="D6" i="11"/>
  <c r="D11" i="11"/>
  <c r="C11" i="11"/>
  <c r="C13" i="11"/>
  <c r="C15" i="11"/>
  <c r="C18" i="11"/>
  <c r="C8" i="11"/>
  <c r="C25" i="11"/>
  <c r="C20" i="11"/>
  <c r="C16" i="11"/>
  <c r="C14" i="11"/>
  <c r="C7" i="11"/>
  <c r="C19" i="11"/>
  <c r="C17" i="11"/>
  <c r="C12" i="11"/>
  <c r="C9" i="11"/>
  <c r="C22" i="11"/>
  <c r="C23" i="11"/>
  <c r="C21" i="11"/>
  <c r="C26" i="11"/>
  <c r="C24" i="11"/>
  <c r="C10" i="11"/>
  <c r="C6" i="11"/>
  <c r="O13" i="13" l="1"/>
  <c r="P13" i="13"/>
  <c r="J21" i="11"/>
  <c r="O15" i="11"/>
  <c r="P19" i="13"/>
  <c r="N6" i="13"/>
  <c r="Q19" i="13"/>
  <c r="Q22" i="13"/>
  <c r="P22" i="13"/>
  <c r="K25" i="13"/>
  <c r="J28" i="13"/>
  <c r="K6" i="13"/>
  <c r="J14" i="11"/>
  <c r="J6" i="11"/>
  <c r="N13" i="11" s="1"/>
  <c r="J12" i="11"/>
  <c r="N7" i="11"/>
  <c r="N8" i="11"/>
  <c r="N14" i="11"/>
  <c r="N15" i="11"/>
  <c r="J11" i="11"/>
  <c r="O7" i="11"/>
  <c r="O8" i="11"/>
  <c r="Q13" i="11"/>
  <c r="Q14" i="11"/>
  <c r="Q15" i="11"/>
  <c r="J8" i="11"/>
  <c r="Q7" i="11"/>
  <c r="P8" i="11"/>
  <c r="P13" i="11"/>
  <c r="P14" i="11"/>
  <c r="P15" i="11"/>
  <c r="I6" i="11"/>
  <c r="Q6" i="11"/>
  <c r="P7" i="11"/>
  <c r="P19" i="11" s="1"/>
  <c r="Q8" i="11"/>
  <c r="O14" i="11"/>
  <c r="O22" i="11" s="1"/>
  <c r="J17" i="11"/>
  <c r="J23" i="11"/>
  <c r="O13" i="11" s="1"/>
  <c r="Q22" i="11" l="1"/>
  <c r="N6" i="11"/>
  <c r="K18" i="13"/>
  <c r="K24" i="13"/>
  <c r="K12" i="13"/>
  <c r="K15" i="13"/>
  <c r="K17" i="13"/>
  <c r="K10" i="13"/>
  <c r="K20" i="13"/>
  <c r="K14" i="13"/>
  <c r="K19" i="13"/>
  <c r="K11" i="13"/>
  <c r="K21" i="13"/>
  <c r="K8" i="13"/>
  <c r="K9" i="13"/>
  <c r="K22" i="13"/>
  <c r="K16" i="13"/>
  <c r="K23" i="13"/>
  <c r="K13" i="13"/>
  <c r="K7" i="13"/>
  <c r="K26" i="13"/>
  <c r="O6" i="11"/>
  <c r="Q19" i="11"/>
  <c r="O19" i="11"/>
  <c r="N22" i="11"/>
  <c r="P22" i="11"/>
  <c r="P6" i="11"/>
  <c r="N19" i="11"/>
  <c r="K26" i="11" l="1"/>
  <c r="K6" i="11"/>
  <c r="K10" i="11"/>
  <c r="K20" i="11"/>
  <c r="K18" i="11"/>
  <c r="K7" i="11"/>
  <c r="K21" i="11"/>
  <c r="K24" i="11"/>
  <c r="K15" i="11"/>
  <c r="K25" i="11"/>
  <c r="K12" i="11"/>
  <c r="K22" i="11"/>
  <c r="K13" i="11"/>
  <c r="K16" i="11"/>
  <c r="K8" i="11"/>
  <c r="K19" i="11"/>
  <c r="K11" i="11"/>
  <c r="K14" i="11"/>
  <c r="K9" i="11"/>
  <c r="K23" i="11"/>
  <c r="K17" i="11"/>
</calcChain>
</file>

<file path=xl/sharedStrings.xml><?xml version="1.0" encoding="utf-8"?>
<sst xmlns="http://schemas.openxmlformats.org/spreadsheetml/2006/main" count="268" uniqueCount="93">
  <si>
    <t>Ulm</t>
  </si>
  <si>
    <t>Einkauf</t>
  </si>
  <si>
    <t>Verkauf</t>
  </si>
  <si>
    <t xml:space="preserve"> </t>
  </si>
  <si>
    <t>Name</t>
  </si>
  <si>
    <t>Abteilung</t>
  </si>
  <si>
    <t>Gehalt-
gruppe
A</t>
  </si>
  <si>
    <t>Gehalt-
gruppe
B</t>
  </si>
  <si>
    <t>Gehalt-
gruppe
C</t>
  </si>
  <si>
    <t>Gehalt-
gruppe
D</t>
  </si>
  <si>
    <t>Müller</t>
  </si>
  <si>
    <t>Behrmann</t>
  </si>
  <si>
    <t>Verwaltung</t>
  </si>
  <si>
    <t>Helber</t>
  </si>
  <si>
    <t>Ganz</t>
  </si>
  <si>
    <t>Hein</t>
  </si>
  <si>
    <t>Fertigung</t>
  </si>
  <si>
    <t>Jülich</t>
  </si>
  <si>
    <t>Hans</t>
  </si>
  <si>
    <t>Ullmann</t>
  </si>
  <si>
    <t>Helberg</t>
  </si>
  <si>
    <t>Trichter</t>
  </si>
  <si>
    <t>Weyer</t>
  </si>
  <si>
    <t>Klein</t>
  </si>
  <si>
    <t>Lehmann</t>
  </si>
  <si>
    <t>Müller H.</t>
  </si>
  <si>
    <t>Josten</t>
  </si>
  <si>
    <t>Mellrich</t>
  </si>
  <si>
    <t>Nass</t>
  </si>
  <si>
    <t>Pelz</t>
  </si>
  <si>
    <t>Pielz</t>
  </si>
  <si>
    <t>Adam</t>
  </si>
  <si>
    <t>Zenzer</t>
  </si>
  <si>
    <t>Wilhelm</t>
  </si>
  <si>
    <t>Raudis</t>
  </si>
  <si>
    <t>Strick</t>
  </si>
  <si>
    <t>Klaus</t>
  </si>
  <si>
    <t>Imann</t>
  </si>
  <si>
    <t>Fuchs</t>
  </si>
  <si>
    <t>Bär</t>
  </si>
  <si>
    <t>Wolf</t>
  </si>
  <si>
    <t>Fröhlich</t>
  </si>
  <si>
    <t>Oscas</t>
  </si>
  <si>
    <t>Paulsen</t>
  </si>
  <si>
    <t>Richter</t>
  </si>
  <si>
    <t>Bauer</t>
  </si>
  <si>
    <t>Helm</t>
  </si>
  <si>
    <t>Münch</t>
  </si>
  <si>
    <t>Glaser</t>
  </si>
  <si>
    <t>Tisch</t>
  </si>
  <si>
    <t>Heinze</t>
  </si>
  <si>
    <t>Zacharias</t>
  </si>
  <si>
    <t>Anrede</t>
  </si>
  <si>
    <t>Frau</t>
  </si>
  <si>
    <t>Herr</t>
  </si>
  <si>
    <t>Urlaub Monat 2</t>
  </si>
  <si>
    <t>Urlaub Monat 3</t>
  </si>
  <si>
    <t>Urlaub Monat 4</t>
  </si>
  <si>
    <t>Urlaub Monat 5</t>
  </si>
  <si>
    <t>Urlaub Monat 6</t>
  </si>
  <si>
    <t>Urlaub Monat 7</t>
  </si>
  <si>
    <t>Urlaub Monat 8</t>
  </si>
  <si>
    <t>Urlaub Monat 9</t>
  </si>
  <si>
    <t>Urlaub Monat 10</t>
  </si>
  <si>
    <t>Urlaub Monat 11</t>
  </si>
  <si>
    <t>Urlaub Monat 12</t>
  </si>
  <si>
    <t>Urlaub 
Monat 1</t>
  </si>
  <si>
    <t>Habermann und Partner GmbH Stundenabrechnung Arbeiter</t>
  </si>
  <si>
    <t>Personal-nummer</t>
  </si>
  <si>
    <t>Personal-
nummer</t>
  </si>
  <si>
    <t>Tarif</t>
  </si>
  <si>
    <t>Zulage</t>
  </si>
  <si>
    <t>TARIF</t>
  </si>
  <si>
    <t>I</t>
  </si>
  <si>
    <t>II</t>
  </si>
  <si>
    <t>III</t>
  </si>
  <si>
    <t>IV</t>
  </si>
  <si>
    <t>Stundenlohn</t>
  </si>
  <si>
    <t>geleistete Stunden</t>
  </si>
  <si>
    <t>Tarifstunden-
lohn</t>
  </si>
  <si>
    <t>Gesamtlohn</t>
  </si>
  <si>
    <t>Gesamt</t>
  </si>
  <si>
    <t>Anteil vom Gesamt</t>
  </si>
  <si>
    <t>Tarif I</t>
  </si>
  <si>
    <t>Tarif II</t>
  </si>
  <si>
    <t>Tarif III</t>
  </si>
  <si>
    <t>Tarif IV</t>
  </si>
  <si>
    <t>Anzahl Mitarbeiter</t>
  </si>
  <si>
    <t>Gesamtöhne pro Tarifgruppe</t>
  </si>
  <si>
    <t>Gesamtlöhne pro Abteilung</t>
  </si>
  <si>
    <t>Statistik</t>
  </si>
  <si>
    <t>durchschnittliche Arbeitsstunden</t>
  </si>
  <si>
    <t>Auswertung Stundenabrechnung Arbeiter Habermann &amp; Partner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</si>
</sst>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164" fontId="2" fillId="0" borderId="0" xfId="2" applyNumberFormat="1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164" fontId="1" fillId="0" borderId="0" xfId="2" applyNumberFormat="1" applyFont="1" applyBorder="1" applyAlignment="1">
      <alignment horizontal="left"/>
    </xf>
    <xf numFmtId="0" fontId="1" fillId="0" borderId="0" xfId="2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Border="1" applyAlignment="1"/>
    <xf numFmtId="0" fontId="1" fillId="0" borderId="0" xfId="0" applyFont="1"/>
    <xf numFmtId="0" fontId="2" fillId="0" borderId="2" xfId="0" applyFont="1" applyBorder="1"/>
    <xf numFmtId="3" fontId="2" fillId="0" borderId="2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4" fontId="2" fillId="0" borderId="2" xfId="0" applyNumberFormat="1" applyFont="1" applyBorder="1"/>
    <xf numFmtId="0" fontId="1" fillId="0" borderId="2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44" fontId="4" fillId="0" borderId="0" xfId="0" applyNumberFormat="1" applyFont="1"/>
    <xf numFmtId="10" fontId="2" fillId="0" borderId="2" xfId="4" applyNumberFormat="1" applyFont="1" applyBorder="1"/>
    <xf numFmtId="0" fontId="1" fillId="0" borderId="2" xfId="0" applyFont="1" applyFill="1" applyBorder="1"/>
    <xf numFmtId="44" fontId="2" fillId="0" borderId="2" xfId="3" applyFont="1" applyBorder="1"/>
    <xf numFmtId="1" fontId="2" fillId="0" borderId="2" xfId="0" applyNumberFormat="1" applyFont="1" applyBorder="1"/>
    <xf numFmtId="166" fontId="2" fillId="0" borderId="2" xfId="0" applyNumberFormat="1" applyFont="1" applyBorder="1"/>
    <xf numFmtId="0" fontId="5" fillId="0" borderId="1" xfId="0" applyFont="1" applyBorder="1" applyAlignment="1">
      <alignment horizontal="center"/>
    </xf>
  </cellXfs>
  <cellStyles count="5">
    <cellStyle name="Euro" xfId="1"/>
    <cellStyle name="Prozent" xfId="4" builtinId="5"/>
    <cellStyle name="Standard" xfId="0" builtinId="0"/>
    <cellStyle name="Standard 2" xfId="2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G32" sqref="G32"/>
    </sheetView>
  </sheetViews>
  <sheetFormatPr baseColWidth="10" defaultColWidth="11.42578125" defaultRowHeight="12.75" customHeight="1" x14ac:dyDescent="0.2"/>
  <cols>
    <col min="1" max="2" width="11.42578125" style="4"/>
    <col min="3" max="3" width="13.7109375" style="5" customWidth="1"/>
    <col min="4" max="4" width="11.42578125" style="4" customWidth="1"/>
    <col min="5" max="5" width="6.7109375" style="4" customWidth="1"/>
    <col min="6" max="6" width="13.140625" style="4" customWidth="1"/>
    <col min="7" max="7" width="11.42578125" style="4"/>
    <col min="8" max="8" width="11.42578125" style="6"/>
    <col min="9" max="16384" width="11.42578125" style="4"/>
  </cols>
  <sheetData>
    <row r="1" spans="1:17" s="2" customFormat="1" ht="25.5" x14ac:dyDescent="0.2">
      <c r="A1" s="10" t="s">
        <v>69</v>
      </c>
      <c r="B1" s="10" t="s">
        <v>52</v>
      </c>
      <c r="C1" s="11" t="s">
        <v>4</v>
      </c>
      <c r="D1" s="11" t="s">
        <v>5</v>
      </c>
      <c r="E1" s="11" t="s">
        <v>70</v>
      </c>
      <c r="F1" s="9" t="s">
        <v>66</v>
      </c>
      <c r="G1" s="9" t="s">
        <v>55</v>
      </c>
      <c r="H1" s="9" t="s">
        <v>56</v>
      </c>
      <c r="I1" s="9" t="s">
        <v>57</v>
      </c>
      <c r="J1" s="9" t="s">
        <v>58</v>
      </c>
      <c r="K1" s="9" t="s">
        <v>59</v>
      </c>
      <c r="L1" s="9" t="s">
        <v>60</v>
      </c>
      <c r="M1" s="9" t="s">
        <v>61</v>
      </c>
      <c r="N1" s="9" t="s">
        <v>62</v>
      </c>
      <c r="O1" s="9" t="s">
        <v>63</v>
      </c>
      <c r="P1" s="9" t="s">
        <v>64</v>
      </c>
      <c r="Q1" s="9" t="s">
        <v>65</v>
      </c>
    </row>
    <row r="2" spans="1:17" s="3" customFormat="1" ht="12.75" customHeight="1" x14ac:dyDescent="0.2">
      <c r="A2" s="3">
        <v>15</v>
      </c>
      <c r="B2" s="13" t="s">
        <v>53</v>
      </c>
      <c r="C2" s="7" t="s">
        <v>31</v>
      </c>
      <c r="D2" s="8" t="s">
        <v>16</v>
      </c>
      <c r="E2" s="25" t="s">
        <v>73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10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</row>
    <row r="3" spans="1:17" s="3" customFormat="1" ht="12.75" customHeight="1" x14ac:dyDescent="0.2">
      <c r="A3" s="3">
        <v>18</v>
      </c>
      <c r="B3" s="13" t="s">
        <v>54</v>
      </c>
      <c r="C3" s="7" t="s">
        <v>32</v>
      </c>
      <c r="D3" s="8" t="s">
        <v>1</v>
      </c>
      <c r="E3" s="25" t="s">
        <v>73</v>
      </c>
      <c r="F3" s="3">
        <v>0</v>
      </c>
      <c r="G3" s="3">
        <v>1</v>
      </c>
      <c r="H3" s="3">
        <v>0</v>
      </c>
      <c r="I3" s="3">
        <v>0</v>
      </c>
      <c r="J3" s="3">
        <v>0</v>
      </c>
      <c r="K3" s="3">
        <v>1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</row>
    <row r="4" spans="1:17" s="3" customFormat="1" ht="12.75" customHeight="1" x14ac:dyDescent="0.2">
      <c r="A4" s="3">
        <v>22</v>
      </c>
      <c r="B4" s="13" t="s">
        <v>53</v>
      </c>
      <c r="C4" s="7" t="s">
        <v>33</v>
      </c>
      <c r="D4" s="8" t="s">
        <v>16</v>
      </c>
      <c r="E4" s="25" t="s">
        <v>73</v>
      </c>
      <c r="F4" s="3">
        <v>1</v>
      </c>
      <c r="G4" s="3">
        <v>0</v>
      </c>
      <c r="H4" s="3">
        <v>0</v>
      </c>
      <c r="I4" s="3">
        <v>0</v>
      </c>
      <c r="J4" s="3">
        <v>1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</row>
    <row r="5" spans="1:17" s="3" customFormat="1" ht="12.75" customHeight="1" x14ac:dyDescent="0.2">
      <c r="A5" s="12">
        <v>31</v>
      </c>
      <c r="B5" s="12" t="s">
        <v>53</v>
      </c>
      <c r="C5" s="7" t="s">
        <v>34</v>
      </c>
      <c r="D5" s="8" t="s">
        <v>12</v>
      </c>
      <c r="E5" s="25" t="s">
        <v>73</v>
      </c>
      <c r="F5" s="12">
        <v>0</v>
      </c>
      <c r="G5" s="3">
        <v>0</v>
      </c>
      <c r="H5" s="3">
        <v>1</v>
      </c>
      <c r="I5" s="3">
        <v>0</v>
      </c>
      <c r="J5" s="12">
        <v>0</v>
      </c>
      <c r="K5" s="3">
        <v>0</v>
      </c>
      <c r="L5" s="3">
        <v>1</v>
      </c>
      <c r="M5" s="3">
        <v>0</v>
      </c>
      <c r="N5" s="3">
        <v>0</v>
      </c>
      <c r="O5" s="3">
        <v>0</v>
      </c>
      <c r="P5" s="3">
        <v>0</v>
      </c>
      <c r="Q5" s="3">
        <v>0</v>
      </c>
    </row>
    <row r="6" spans="1:17" s="3" customFormat="1" ht="12.75" customHeight="1" x14ac:dyDescent="0.2">
      <c r="A6" s="12">
        <v>7</v>
      </c>
      <c r="B6" s="12" t="s">
        <v>54</v>
      </c>
      <c r="C6" s="7" t="s">
        <v>35</v>
      </c>
      <c r="D6" s="8" t="s">
        <v>16</v>
      </c>
      <c r="E6" s="25" t="s">
        <v>74</v>
      </c>
      <c r="F6" s="12">
        <v>0</v>
      </c>
      <c r="G6" s="3">
        <v>0</v>
      </c>
      <c r="H6" s="3">
        <v>0</v>
      </c>
      <c r="I6" s="3">
        <v>1</v>
      </c>
      <c r="J6" s="12">
        <v>0</v>
      </c>
      <c r="K6" s="3">
        <v>10</v>
      </c>
      <c r="L6" s="3">
        <v>0</v>
      </c>
      <c r="M6" s="3">
        <v>1</v>
      </c>
      <c r="N6" s="3">
        <v>0</v>
      </c>
      <c r="O6" s="3">
        <v>0</v>
      </c>
      <c r="P6" s="3">
        <v>0</v>
      </c>
      <c r="Q6" s="3">
        <v>0</v>
      </c>
    </row>
    <row r="7" spans="1:17" s="3" customFormat="1" ht="12.75" customHeight="1" x14ac:dyDescent="0.2">
      <c r="A7" s="12">
        <v>48</v>
      </c>
      <c r="B7" s="12" t="s">
        <v>54</v>
      </c>
      <c r="C7" s="7" t="s">
        <v>36</v>
      </c>
      <c r="D7" s="8" t="s">
        <v>1</v>
      </c>
      <c r="E7" s="25" t="s">
        <v>74</v>
      </c>
      <c r="F7" s="3">
        <v>1</v>
      </c>
      <c r="G7" s="3">
        <v>0</v>
      </c>
      <c r="H7" s="3">
        <v>5</v>
      </c>
      <c r="I7" s="3">
        <v>0</v>
      </c>
      <c r="J7" s="3">
        <v>1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</row>
    <row r="8" spans="1:17" s="3" customFormat="1" ht="12.75" customHeight="1" x14ac:dyDescent="0.2">
      <c r="A8" s="12">
        <v>36</v>
      </c>
      <c r="B8" s="12" t="s">
        <v>54</v>
      </c>
      <c r="C8" s="7" t="s">
        <v>37</v>
      </c>
      <c r="D8" s="8" t="s">
        <v>12</v>
      </c>
      <c r="E8" s="25" t="s">
        <v>75</v>
      </c>
      <c r="F8" s="3">
        <v>1</v>
      </c>
      <c r="G8" s="3">
        <v>0</v>
      </c>
      <c r="H8" s="3">
        <v>0</v>
      </c>
      <c r="I8" s="3">
        <v>0</v>
      </c>
      <c r="J8" s="3">
        <v>1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5</v>
      </c>
    </row>
    <row r="9" spans="1:17" s="3" customFormat="1" ht="12.75" customHeight="1" x14ac:dyDescent="0.2">
      <c r="A9" s="12">
        <v>25</v>
      </c>
      <c r="B9" s="12" t="s">
        <v>53</v>
      </c>
      <c r="C9" s="7" t="s">
        <v>38</v>
      </c>
      <c r="D9" s="8" t="s">
        <v>16</v>
      </c>
      <c r="E9" s="25" t="s">
        <v>76</v>
      </c>
      <c r="F9" s="3">
        <v>1</v>
      </c>
      <c r="G9" s="3">
        <v>0</v>
      </c>
      <c r="H9" s="3">
        <v>2</v>
      </c>
      <c r="I9" s="3">
        <v>0</v>
      </c>
      <c r="J9" s="3">
        <v>1</v>
      </c>
      <c r="K9" s="3">
        <v>10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s="3" customFormat="1" ht="12.75" customHeight="1" x14ac:dyDescent="0.2">
      <c r="A10" s="12">
        <v>19</v>
      </c>
      <c r="B10" s="12" t="s">
        <v>54</v>
      </c>
      <c r="C10" s="7" t="s">
        <v>41</v>
      </c>
      <c r="D10" s="8" t="s">
        <v>16</v>
      </c>
      <c r="E10" s="25" t="s">
        <v>76</v>
      </c>
      <c r="F10" s="3">
        <v>1</v>
      </c>
      <c r="G10" s="3">
        <v>0</v>
      </c>
      <c r="H10" s="3">
        <v>2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5</v>
      </c>
    </row>
    <row r="11" spans="1:17" s="3" customFormat="1" ht="12.75" customHeight="1" x14ac:dyDescent="0.2">
      <c r="A11" s="12">
        <v>5</v>
      </c>
      <c r="B11" s="12" t="s">
        <v>54</v>
      </c>
      <c r="C11" s="7" t="s">
        <v>39</v>
      </c>
      <c r="D11" s="8" t="s">
        <v>12</v>
      </c>
      <c r="E11" s="25" t="s">
        <v>74</v>
      </c>
      <c r="F11" s="3">
        <v>1</v>
      </c>
      <c r="G11" s="3">
        <v>0</v>
      </c>
      <c r="H11" s="3">
        <v>8</v>
      </c>
      <c r="I11" s="3">
        <v>0</v>
      </c>
      <c r="J11" s="3">
        <v>1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s="3" customFormat="1" ht="12.75" customHeight="1" x14ac:dyDescent="0.2">
      <c r="A12" s="12">
        <v>32</v>
      </c>
      <c r="B12" s="12" t="s">
        <v>54</v>
      </c>
      <c r="C12" s="7" t="s">
        <v>42</v>
      </c>
      <c r="D12" s="8" t="s">
        <v>12</v>
      </c>
      <c r="E12" s="25" t="s">
        <v>74</v>
      </c>
      <c r="F12" s="3">
        <v>0</v>
      </c>
      <c r="G12" s="3">
        <v>1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s="3" customFormat="1" ht="12.75" customHeight="1" x14ac:dyDescent="0.2">
      <c r="A13" s="12">
        <v>30</v>
      </c>
      <c r="B13" s="12" t="s">
        <v>54</v>
      </c>
      <c r="C13" s="7" t="s">
        <v>43</v>
      </c>
      <c r="D13" s="8" t="s">
        <v>1</v>
      </c>
      <c r="E13" s="25" t="s">
        <v>73</v>
      </c>
      <c r="F13" s="3">
        <v>0</v>
      </c>
      <c r="G13" s="12">
        <v>0</v>
      </c>
      <c r="H13" s="3">
        <v>2</v>
      </c>
      <c r="I13" s="3">
        <v>1</v>
      </c>
      <c r="J13" s="3">
        <v>0</v>
      </c>
      <c r="K13" s="12">
        <v>0</v>
      </c>
      <c r="L13" s="3">
        <v>0</v>
      </c>
      <c r="M13" s="3">
        <v>1</v>
      </c>
      <c r="N13" s="3">
        <v>0</v>
      </c>
      <c r="O13" s="3">
        <v>0</v>
      </c>
      <c r="P13" s="3">
        <v>0</v>
      </c>
      <c r="Q13" s="3">
        <v>5</v>
      </c>
    </row>
    <row r="14" spans="1:17" s="3" customFormat="1" ht="12.75" customHeight="1" x14ac:dyDescent="0.2">
      <c r="A14" s="12">
        <v>17</v>
      </c>
      <c r="B14" s="12" t="s">
        <v>54</v>
      </c>
      <c r="C14" s="7" t="s">
        <v>44</v>
      </c>
      <c r="D14" s="8" t="s">
        <v>2</v>
      </c>
      <c r="E14" s="25" t="s">
        <v>73</v>
      </c>
      <c r="F14" s="3">
        <v>0</v>
      </c>
      <c r="G14" s="3">
        <v>1</v>
      </c>
      <c r="H14" s="3">
        <v>8</v>
      </c>
      <c r="I14" s="3">
        <v>0</v>
      </c>
      <c r="J14" s="3">
        <v>0</v>
      </c>
      <c r="K14" s="3">
        <v>15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5</v>
      </c>
    </row>
    <row r="15" spans="1:17" s="3" customFormat="1" ht="12.75" customHeight="1" x14ac:dyDescent="0.2">
      <c r="A15" s="12">
        <v>8</v>
      </c>
      <c r="B15" s="12" t="s">
        <v>54</v>
      </c>
      <c r="C15" s="7" t="s">
        <v>45</v>
      </c>
      <c r="D15" s="8" t="s">
        <v>16</v>
      </c>
      <c r="E15" s="25" t="s">
        <v>76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5</v>
      </c>
    </row>
    <row r="16" spans="1:17" s="3" customFormat="1" ht="12.75" customHeight="1" x14ac:dyDescent="0.2">
      <c r="A16" s="12">
        <v>41</v>
      </c>
      <c r="B16" s="12" t="s">
        <v>53</v>
      </c>
      <c r="C16" s="7" t="s">
        <v>46</v>
      </c>
      <c r="D16" s="8" t="s">
        <v>16</v>
      </c>
      <c r="E16" s="25" t="s">
        <v>75</v>
      </c>
      <c r="F16" s="3">
        <v>0</v>
      </c>
      <c r="G16" s="3">
        <v>1</v>
      </c>
      <c r="H16" s="3">
        <v>4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5</v>
      </c>
    </row>
    <row r="17" spans="1:17" s="3" customFormat="1" ht="12.75" customHeight="1" x14ac:dyDescent="0.2">
      <c r="A17" s="12">
        <v>45</v>
      </c>
      <c r="B17" s="12" t="s">
        <v>53</v>
      </c>
      <c r="C17" s="7" t="s">
        <v>40</v>
      </c>
      <c r="D17" s="8" t="s">
        <v>16</v>
      </c>
      <c r="E17" s="25" t="s">
        <v>74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</row>
    <row r="18" spans="1:17" s="3" customFormat="1" ht="12.75" customHeight="1" x14ac:dyDescent="0.2">
      <c r="A18" s="12">
        <v>38</v>
      </c>
      <c r="B18" s="12" t="s">
        <v>53</v>
      </c>
      <c r="C18" s="7" t="s">
        <v>47</v>
      </c>
      <c r="D18" s="8" t="s">
        <v>16</v>
      </c>
      <c r="E18" s="25" t="s">
        <v>73</v>
      </c>
      <c r="F18" s="3">
        <v>0</v>
      </c>
      <c r="G18" s="3">
        <v>0</v>
      </c>
      <c r="H18" s="3">
        <v>1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  <c r="O18" s="3">
        <v>0</v>
      </c>
      <c r="P18" s="3">
        <v>0</v>
      </c>
      <c r="Q18" s="3">
        <v>5</v>
      </c>
    </row>
    <row r="19" spans="1:17" ht="12.75" customHeight="1" x14ac:dyDescent="0.2">
      <c r="A19" s="12">
        <v>50</v>
      </c>
      <c r="B19" s="12" t="s">
        <v>53</v>
      </c>
      <c r="C19" s="7" t="s">
        <v>48</v>
      </c>
      <c r="D19" s="8" t="s">
        <v>1</v>
      </c>
      <c r="E19" s="25" t="s">
        <v>76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5</v>
      </c>
    </row>
    <row r="20" spans="1:17" ht="12.75" customHeight="1" x14ac:dyDescent="0.2">
      <c r="A20" s="12">
        <v>46</v>
      </c>
      <c r="B20" s="12" t="s">
        <v>54</v>
      </c>
      <c r="C20" s="7" t="s">
        <v>49</v>
      </c>
      <c r="D20" s="8" t="s">
        <v>16</v>
      </c>
      <c r="E20" s="25" t="s">
        <v>73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0</v>
      </c>
      <c r="L20" s="3">
        <v>0</v>
      </c>
      <c r="M20" s="3">
        <v>1</v>
      </c>
      <c r="N20" s="3">
        <v>0</v>
      </c>
      <c r="O20" s="3">
        <v>0</v>
      </c>
      <c r="P20" s="3">
        <v>0</v>
      </c>
      <c r="Q20" s="3">
        <v>0</v>
      </c>
    </row>
    <row r="21" spans="1:17" ht="12.75" customHeight="1" x14ac:dyDescent="0.2">
      <c r="A21" s="12">
        <v>11</v>
      </c>
      <c r="B21" s="12" t="s">
        <v>54</v>
      </c>
      <c r="C21" s="7" t="s">
        <v>50</v>
      </c>
      <c r="D21" s="8" t="s">
        <v>2</v>
      </c>
      <c r="E21" s="25" t="s">
        <v>74</v>
      </c>
      <c r="F21" s="3">
        <v>1</v>
      </c>
      <c r="G21" s="3">
        <v>0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5</v>
      </c>
    </row>
    <row r="22" spans="1:17" ht="12.75" customHeight="1" x14ac:dyDescent="0.2">
      <c r="A22" s="12">
        <v>3</v>
      </c>
      <c r="B22" s="12" t="s">
        <v>53</v>
      </c>
      <c r="C22" s="7" t="s">
        <v>51</v>
      </c>
      <c r="D22" s="8" t="s">
        <v>1</v>
      </c>
      <c r="E22" s="25" t="s">
        <v>75</v>
      </c>
      <c r="F22" s="3">
        <v>1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</row>
    <row r="23" spans="1:17" ht="12.75" customHeight="1" x14ac:dyDescent="0.2">
      <c r="L23" s="6"/>
    </row>
    <row r="24" spans="1:17" ht="12.75" customHeight="1" x14ac:dyDescent="0.2">
      <c r="K24" s="3"/>
      <c r="L24" s="3"/>
      <c r="M24" s="3"/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C28" sqref="C28"/>
    </sheetView>
  </sheetViews>
  <sheetFormatPr baseColWidth="10" defaultColWidth="11.42578125" defaultRowHeight="12.75" customHeight="1" x14ac:dyDescent="0.2"/>
  <cols>
    <col min="1" max="1" width="13.7109375" style="5" customWidth="1"/>
    <col min="2" max="2" width="11.42578125" style="4" customWidth="1"/>
    <col min="3" max="4" width="11.42578125" style="4"/>
    <col min="5" max="5" width="11.42578125" style="6"/>
    <col min="6" max="16384" width="11.42578125" style="4"/>
  </cols>
  <sheetData>
    <row r="1" spans="1:6" s="2" customFormat="1" ht="38.25" x14ac:dyDescent="0.2">
      <c r="A1" s="10" t="s">
        <v>4</v>
      </c>
      <c r="B1" s="11" t="s">
        <v>5</v>
      </c>
      <c r="C1" s="9" t="s">
        <v>6</v>
      </c>
      <c r="D1" s="9" t="s">
        <v>7</v>
      </c>
      <c r="E1" s="9" t="s">
        <v>8</v>
      </c>
      <c r="F1" s="9" t="s">
        <v>9</v>
      </c>
    </row>
    <row r="2" spans="1:6" s="3" customFormat="1" ht="12.75" customHeight="1" x14ac:dyDescent="0.2">
      <c r="A2" s="7" t="s">
        <v>10</v>
      </c>
      <c r="B2" s="8" t="s">
        <v>1</v>
      </c>
      <c r="C2" s="3">
        <v>1</v>
      </c>
      <c r="D2" s="3">
        <v>0</v>
      </c>
      <c r="E2" s="3">
        <v>0</v>
      </c>
      <c r="F2" s="3">
        <v>0</v>
      </c>
    </row>
    <row r="3" spans="1:6" s="3" customFormat="1" ht="12.75" customHeight="1" x14ac:dyDescent="0.2">
      <c r="A3" s="7" t="s">
        <v>10</v>
      </c>
      <c r="B3" s="8" t="s">
        <v>2</v>
      </c>
      <c r="C3" s="3">
        <v>0</v>
      </c>
      <c r="D3" s="3">
        <v>1</v>
      </c>
      <c r="E3" s="3">
        <v>0</v>
      </c>
      <c r="F3" s="3">
        <v>0</v>
      </c>
    </row>
    <row r="4" spans="1:6" s="3" customFormat="1" ht="12.75" customHeight="1" x14ac:dyDescent="0.2">
      <c r="A4" s="7" t="s">
        <v>11</v>
      </c>
      <c r="B4" s="8" t="s">
        <v>12</v>
      </c>
      <c r="C4" s="3">
        <v>1</v>
      </c>
      <c r="D4" s="3">
        <v>0</v>
      </c>
      <c r="E4" s="3">
        <v>0</v>
      </c>
      <c r="F4" s="3">
        <v>0</v>
      </c>
    </row>
    <row r="5" spans="1:6" s="3" customFormat="1" ht="12.75" customHeight="1" x14ac:dyDescent="0.2">
      <c r="A5" s="7" t="s">
        <v>13</v>
      </c>
      <c r="B5" s="8" t="s">
        <v>1</v>
      </c>
      <c r="C5" s="12">
        <v>0</v>
      </c>
      <c r="D5" s="3">
        <v>0</v>
      </c>
      <c r="E5" s="3">
        <v>1</v>
      </c>
      <c r="F5" s="3">
        <v>0</v>
      </c>
    </row>
    <row r="6" spans="1:6" s="3" customFormat="1" ht="12.75" customHeight="1" x14ac:dyDescent="0.2">
      <c r="A6" s="7" t="s">
        <v>14</v>
      </c>
      <c r="B6" s="8" t="s">
        <v>2</v>
      </c>
      <c r="C6" s="3">
        <v>0</v>
      </c>
      <c r="D6" s="3">
        <v>0</v>
      </c>
      <c r="E6" s="3">
        <v>0</v>
      </c>
      <c r="F6" s="3">
        <v>1</v>
      </c>
    </row>
    <row r="7" spans="1:6" s="3" customFormat="1" ht="12.75" customHeight="1" x14ac:dyDescent="0.2">
      <c r="A7" s="7" t="s">
        <v>15</v>
      </c>
      <c r="B7" s="8" t="s">
        <v>16</v>
      </c>
      <c r="C7" s="3">
        <v>0</v>
      </c>
      <c r="D7" s="3">
        <v>1</v>
      </c>
      <c r="E7" s="3">
        <v>0</v>
      </c>
      <c r="F7" s="3">
        <v>0</v>
      </c>
    </row>
    <row r="8" spans="1:6" s="3" customFormat="1" ht="12.75" customHeight="1" x14ac:dyDescent="0.2">
      <c r="A8" s="7" t="s">
        <v>17</v>
      </c>
      <c r="B8" s="8" t="s">
        <v>2</v>
      </c>
      <c r="C8" s="3">
        <v>0</v>
      </c>
      <c r="D8" s="3">
        <v>1</v>
      </c>
      <c r="E8" s="3">
        <v>0</v>
      </c>
      <c r="F8" s="3">
        <v>0</v>
      </c>
    </row>
    <row r="9" spans="1:6" s="3" customFormat="1" ht="12.75" customHeight="1" x14ac:dyDescent="0.2">
      <c r="A9" s="7" t="s">
        <v>18</v>
      </c>
      <c r="B9" s="8" t="s">
        <v>16</v>
      </c>
      <c r="C9" s="3">
        <v>0</v>
      </c>
      <c r="D9" s="3">
        <v>0</v>
      </c>
      <c r="E9" s="3">
        <v>0</v>
      </c>
      <c r="F9" s="3">
        <v>1</v>
      </c>
    </row>
    <row r="10" spans="1:6" s="3" customFormat="1" ht="12.75" customHeight="1" x14ac:dyDescent="0.2">
      <c r="A10" s="7" t="s">
        <v>19</v>
      </c>
      <c r="B10" s="8" t="s">
        <v>2</v>
      </c>
      <c r="C10" s="3">
        <v>1</v>
      </c>
      <c r="D10" s="3">
        <v>0</v>
      </c>
      <c r="E10" s="3">
        <v>0</v>
      </c>
      <c r="F10" s="3">
        <v>0</v>
      </c>
    </row>
    <row r="11" spans="1:6" s="3" customFormat="1" ht="12.75" customHeight="1" x14ac:dyDescent="0.2">
      <c r="A11" s="7" t="s">
        <v>20</v>
      </c>
      <c r="B11" s="8" t="s">
        <v>12</v>
      </c>
      <c r="C11" s="3">
        <v>0</v>
      </c>
      <c r="D11" s="3">
        <v>0</v>
      </c>
      <c r="E11" s="3">
        <v>1</v>
      </c>
      <c r="F11" s="3">
        <v>0</v>
      </c>
    </row>
    <row r="12" spans="1:6" s="3" customFormat="1" ht="12.75" customHeight="1" x14ac:dyDescent="0.2">
      <c r="A12" s="7" t="s">
        <v>21</v>
      </c>
      <c r="B12" s="8" t="s">
        <v>1</v>
      </c>
      <c r="C12" s="3">
        <v>0</v>
      </c>
      <c r="D12" s="3">
        <v>1</v>
      </c>
      <c r="E12" s="3">
        <v>0</v>
      </c>
      <c r="F12" s="3">
        <v>0</v>
      </c>
    </row>
    <row r="13" spans="1:6" s="3" customFormat="1" ht="12.75" customHeight="1" x14ac:dyDescent="0.2">
      <c r="A13" s="7" t="s">
        <v>22</v>
      </c>
      <c r="B13" s="8" t="s">
        <v>12</v>
      </c>
      <c r="C13" s="3">
        <v>0</v>
      </c>
      <c r="D13" s="3">
        <v>0</v>
      </c>
      <c r="E13" s="3">
        <v>0</v>
      </c>
      <c r="F13" s="3">
        <v>1</v>
      </c>
    </row>
    <row r="14" spans="1:6" s="3" customFormat="1" ht="12.75" customHeight="1" x14ac:dyDescent="0.2">
      <c r="A14" s="7" t="s">
        <v>23</v>
      </c>
      <c r="B14" s="8" t="s">
        <v>2</v>
      </c>
      <c r="C14" s="3">
        <v>0</v>
      </c>
      <c r="D14" s="3">
        <v>0</v>
      </c>
      <c r="E14" s="3">
        <v>1</v>
      </c>
      <c r="F14" s="3">
        <v>0</v>
      </c>
    </row>
    <row r="15" spans="1:6" s="3" customFormat="1" ht="12.75" customHeight="1" x14ac:dyDescent="0.2">
      <c r="A15" s="7" t="s">
        <v>24</v>
      </c>
      <c r="B15" s="8" t="s">
        <v>16</v>
      </c>
      <c r="C15" s="3">
        <v>0</v>
      </c>
      <c r="D15" s="3">
        <v>1</v>
      </c>
      <c r="E15" s="3">
        <v>0</v>
      </c>
      <c r="F15" s="3">
        <v>0</v>
      </c>
    </row>
    <row r="16" spans="1:6" s="3" customFormat="1" ht="12.75" customHeight="1" x14ac:dyDescent="0.2">
      <c r="A16" s="7" t="s">
        <v>25</v>
      </c>
      <c r="B16" s="8" t="s">
        <v>16</v>
      </c>
      <c r="C16" s="3">
        <v>0</v>
      </c>
      <c r="D16" s="3">
        <v>1</v>
      </c>
      <c r="E16" s="3">
        <v>0</v>
      </c>
      <c r="F16" s="3">
        <v>0</v>
      </c>
    </row>
    <row r="17" spans="1:10" s="3" customFormat="1" ht="12.75" customHeight="1" x14ac:dyDescent="0.2">
      <c r="A17" s="7" t="s">
        <v>26</v>
      </c>
      <c r="B17" s="8" t="s">
        <v>12</v>
      </c>
      <c r="C17" s="12">
        <v>0</v>
      </c>
      <c r="D17" s="3">
        <v>0</v>
      </c>
      <c r="E17" s="3">
        <v>1</v>
      </c>
      <c r="F17" s="3">
        <v>0</v>
      </c>
    </row>
    <row r="18" spans="1:10" s="3" customFormat="1" ht="12.75" customHeight="1" x14ac:dyDescent="0.2">
      <c r="A18" s="7" t="s">
        <v>27</v>
      </c>
      <c r="B18" s="8" t="s">
        <v>12</v>
      </c>
      <c r="C18" s="3">
        <v>1</v>
      </c>
      <c r="D18" s="3">
        <v>0</v>
      </c>
      <c r="E18" s="3">
        <v>0</v>
      </c>
      <c r="F18" s="3">
        <v>0</v>
      </c>
    </row>
    <row r="19" spans="1:10" ht="12.75" customHeight="1" x14ac:dyDescent="0.2">
      <c r="A19" s="7" t="s">
        <v>28</v>
      </c>
      <c r="B19" s="8" t="s">
        <v>1</v>
      </c>
      <c r="C19" s="3">
        <v>0</v>
      </c>
      <c r="D19" s="3">
        <v>1</v>
      </c>
      <c r="E19" s="3">
        <v>0</v>
      </c>
      <c r="F19" s="3">
        <v>0</v>
      </c>
      <c r="H19" s="3"/>
      <c r="I19" s="3"/>
      <c r="J19" s="3"/>
    </row>
    <row r="20" spans="1:10" ht="12.75" customHeight="1" x14ac:dyDescent="0.2">
      <c r="A20" s="7" t="s">
        <v>29</v>
      </c>
      <c r="B20" s="8" t="s">
        <v>16</v>
      </c>
      <c r="C20" s="3">
        <v>0</v>
      </c>
      <c r="D20" s="3">
        <v>0</v>
      </c>
      <c r="E20" s="3">
        <v>0</v>
      </c>
      <c r="F20" s="3">
        <v>1</v>
      </c>
      <c r="H20" s="3"/>
      <c r="I20" s="3"/>
      <c r="J20" s="3"/>
    </row>
    <row r="21" spans="1:10" ht="12.75" customHeight="1" x14ac:dyDescent="0.2">
      <c r="A21" s="7" t="s">
        <v>30</v>
      </c>
      <c r="B21" s="8" t="s">
        <v>2</v>
      </c>
      <c r="C21" s="3">
        <v>0</v>
      </c>
      <c r="D21" s="3">
        <v>0</v>
      </c>
      <c r="E21" s="3">
        <v>0</v>
      </c>
      <c r="F21" s="3">
        <v>1</v>
      </c>
      <c r="H21" s="3"/>
      <c r="I21" s="3"/>
      <c r="J21" s="3"/>
    </row>
    <row r="22" spans="1:10" ht="12.75" customHeight="1" x14ac:dyDescent="0.2">
      <c r="A22" s="1" t="s">
        <v>0</v>
      </c>
      <c r="B22" s="8" t="s">
        <v>1</v>
      </c>
      <c r="C22" s="3">
        <v>1</v>
      </c>
      <c r="D22" s="3">
        <v>0</v>
      </c>
      <c r="E22" s="3">
        <v>0</v>
      </c>
      <c r="F22" s="3">
        <v>0</v>
      </c>
      <c r="H22" s="3"/>
      <c r="I22" s="3"/>
      <c r="J22" s="3"/>
    </row>
    <row r="23" spans="1:10" ht="12.75" customHeight="1" x14ac:dyDescent="0.2">
      <c r="H23" s="3"/>
      <c r="I23" s="3"/>
      <c r="J23" s="3"/>
    </row>
    <row r="24" spans="1:10" ht="12.75" customHeight="1" x14ac:dyDescent="0.2">
      <c r="H24" s="3"/>
      <c r="I24" s="3"/>
      <c r="J24" s="3"/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Normal="100" zoomScalePageLayoutView="90" workbookViewId="0">
      <selection activeCell="M32" sqref="M32"/>
    </sheetView>
  </sheetViews>
  <sheetFormatPr baseColWidth="10" defaultColWidth="11.42578125" defaultRowHeight="12.75" customHeight="1" x14ac:dyDescent="0.2"/>
  <cols>
    <col min="1" max="1" width="4.140625" style="5" customWidth="1"/>
    <col min="2" max="2" width="11.42578125" style="4"/>
    <col min="3" max="3" width="12.5703125" style="4" customWidth="1"/>
    <col min="4" max="4" width="11.42578125" style="4"/>
    <col min="5" max="5" width="11.42578125" style="6"/>
    <col min="6" max="7" width="11.42578125" style="4"/>
    <col min="8" max="8" width="13.5703125" style="4" customWidth="1"/>
    <col min="9" max="9" width="11.42578125" style="4"/>
    <col min="10" max="10" width="13.7109375" style="4" customWidth="1"/>
    <col min="11" max="11" width="11.42578125" style="4"/>
    <col min="12" max="12" width="6.140625" style="4" customWidth="1"/>
    <col min="13" max="13" width="28.42578125" style="4" bestFit="1" customWidth="1"/>
    <col min="14" max="14" width="12.5703125" style="4" bestFit="1" customWidth="1"/>
    <col min="15" max="17" width="11.85546875" style="4" bestFit="1" customWidth="1"/>
    <col min="18" max="16384" width="11.42578125" style="4"/>
  </cols>
  <sheetData>
    <row r="1" spans="1:18" ht="12.75" customHeight="1" x14ac:dyDescent="0.2">
      <c r="A1" s="5" t="s">
        <v>3</v>
      </c>
    </row>
    <row r="2" spans="1:18" ht="18" customHeight="1" x14ac:dyDescent="0.25">
      <c r="B2" s="34" t="s">
        <v>67</v>
      </c>
      <c r="C2" s="34"/>
      <c r="D2" s="34"/>
      <c r="E2" s="34"/>
      <c r="F2" s="34"/>
      <c r="G2" s="34"/>
      <c r="H2" s="34"/>
      <c r="I2" s="34"/>
      <c r="J2" s="34"/>
      <c r="K2" s="34"/>
      <c r="M2" s="34" t="s">
        <v>92</v>
      </c>
      <c r="N2" s="34"/>
      <c r="O2" s="34"/>
      <c r="P2" s="34"/>
      <c r="Q2" s="34"/>
      <c r="R2" s="34"/>
    </row>
    <row r="5" spans="1:18" ht="25.5" x14ac:dyDescent="0.2">
      <c r="B5" s="22" t="s">
        <v>68</v>
      </c>
      <c r="C5" s="23" t="s">
        <v>52</v>
      </c>
      <c r="D5" s="23" t="s">
        <v>4</v>
      </c>
      <c r="E5" s="24" t="s">
        <v>5</v>
      </c>
      <c r="F5" s="23" t="s">
        <v>70</v>
      </c>
      <c r="G5" s="26" t="s">
        <v>78</v>
      </c>
      <c r="H5" s="26" t="s">
        <v>79</v>
      </c>
      <c r="I5" s="26" t="s">
        <v>71</v>
      </c>
      <c r="J5" s="26" t="s">
        <v>80</v>
      </c>
      <c r="K5" s="26" t="s">
        <v>82</v>
      </c>
      <c r="M5" s="22"/>
      <c r="N5" s="26" t="s">
        <v>83</v>
      </c>
      <c r="O5" s="26" t="s">
        <v>84</v>
      </c>
      <c r="P5" s="26" t="s">
        <v>85</v>
      </c>
      <c r="Q5" s="26" t="s">
        <v>86</v>
      </c>
    </row>
    <row r="6" spans="1:18" ht="12.75" customHeight="1" x14ac:dyDescent="0.2">
      <c r="B6" s="15">
        <v>3</v>
      </c>
      <c r="C6" s="15" t="str">
        <f>VLOOKUP(B6,'Mitarbeiter Löhne'!$A$2:$E$22,2,0)</f>
        <v>Frau</v>
      </c>
      <c r="D6" s="15" t="str">
        <f>VLOOKUP(B6,'Mitarbeiter Löhne'!$A$2:$E$22,3,0)</f>
        <v>Zacharias</v>
      </c>
      <c r="E6" s="16" t="str">
        <f>VLOOKUP(B6,'Mitarbeiter Löhne'!$A$2:$E$22,4,0)</f>
        <v>Einkauf</v>
      </c>
      <c r="F6" s="15" t="str">
        <f>VLOOKUP(B6,'Mitarbeiter Löhne'!$A$2:$E$22,5,0)</f>
        <v>III</v>
      </c>
      <c r="G6" s="15">
        <v>160</v>
      </c>
      <c r="H6" s="33">
        <f t="shared" ref="H6:H26" si="0">VLOOKUP(F6,$B$30:$C$33,2,0)</f>
        <v>24.8</v>
      </c>
      <c r="I6" s="33">
        <f t="shared" ref="I6:I26" si="1">IF(E6="Fertigung",250,IF(E6="Verkauf",150,0))</f>
        <v>0</v>
      </c>
      <c r="J6" s="33">
        <f t="shared" ref="J6:J26" si="2">G6*H6+I6</f>
        <v>3968</v>
      </c>
      <c r="K6" s="29">
        <f t="shared" ref="K6:K26" si="3">J6/$J$28</f>
        <v>6.4454298848334229E-2</v>
      </c>
      <c r="M6" s="17" t="s">
        <v>88</v>
      </c>
      <c r="N6" s="31">
        <f>SUMIF($F$6:$F$26,"I",$J$6:$J$26)</f>
        <v>20020</v>
      </c>
      <c r="O6" s="31">
        <f>SUMIF($F$6:$F$26,"II",$J$6:$J$26)</f>
        <v>14258</v>
      </c>
      <c r="P6" s="31">
        <f>SUMIF($F$6:$F$26,"III",$J$6:$J$26)</f>
        <v>11410</v>
      </c>
      <c r="Q6" s="31">
        <f>SUMIF($F$6:$F$26,"IV",$J$6:$J$26)</f>
        <v>15875</v>
      </c>
    </row>
    <row r="7" spans="1:18" ht="12.75" customHeight="1" x14ac:dyDescent="0.2">
      <c r="B7" s="15">
        <v>5</v>
      </c>
      <c r="C7" s="15" t="str">
        <f>VLOOKUP(B7,'Mitarbeiter Löhne'!$A$2:$E$22,2,0)</f>
        <v>Herr</v>
      </c>
      <c r="D7" s="15" t="str">
        <f>VLOOKUP(B7,'Mitarbeiter Löhne'!$A$2:$E$22,3,0)</f>
        <v>Bär</v>
      </c>
      <c r="E7" s="16" t="str">
        <f>VLOOKUP(B7,'Mitarbeiter Löhne'!$A$2:$E$22,4,0)</f>
        <v>Verwaltung</v>
      </c>
      <c r="F7" s="15" t="str">
        <f>VLOOKUP(B7,'Mitarbeiter Löhne'!$A$2:$E$22,5,0)</f>
        <v>II</v>
      </c>
      <c r="G7" s="15">
        <v>80</v>
      </c>
      <c r="H7" s="33">
        <f t="shared" si="0"/>
        <v>21.6</v>
      </c>
      <c r="I7" s="33">
        <f t="shared" si="1"/>
        <v>0</v>
      </c>
      <c r="J7" s="33">
        <f t="shared" si="2"/>
        <v>1728</v>
      </c>
      <c r="K7" s="29">
        <f t="shared" si="3"/>
        <v>2.8068807562984261E-2</v>
      </c>
      <c r="M7" s="17" t="s">
        <v>78</v>
      </c>
      <c r="N7" s="16">
        <f>SUMIF($F$6:$F$26,"I",$G$6:$G$26)</f>
        <v>1020</v>
      </c>
      <c r="O7" s="16">
        <f>SUMIF($F$6:$F$26,"II",$G$6:$G$26)</f>
        <v>630</v>
      </c>
      <c r="P7" s="16">
        <f>SUMIF($F$6:$F$26,"III",$G$6:$G$26)</f>
        <v>450</v>
      </c>
      <c r="Q7" s="16">
        <f>SUMIF($F$6:$F$26,"IV",$G$6:$G$26)</f>
        <v>550</v>
      </c>
    </row>
    <row r="8" spans="1:18" ht="12.75" customHeight="1" x14ac:dyDescent="0.2">
      <c r="B8" s="15">
        <v>7</v>
      </c>
      <c r="C8" s="15" t="str">
        <f>VLOOKUP(B8,'Mitarbeiter Löhne'!$A$2:$E$22,2,0)</f>
        <v>Herr</v>
      </c>
      <c r="D8" s="15" t="str">
        <f>VLOOKUP(B8,'Mitarbeiter Löhne'!$A$2:$E$22,3,0)</f>
        <v>Strick</v>
      </c>
      <c r="E8" s="16" t="str">
        <f>VLOOKUP(B8,'Mitarbeiter Löhne'!$A$2:$E$22,4,0)</f>
        <v>Fertigung</v>
      </c>
      <c r="F8" s="15" t="str">
        <f>VLOOKUP(B8,'Mitarbeiter Löhne'!$A$2:$E$22,5,0)</f>
        <v>II</v>
      </c>
      <c r="G8" s="15">
        <v>160</v>
      </c>
      <c r="H8" s="33">
        <f t="shared" si="0"/>
        <v>21.6</v>
      </c>
      <c r="I8" s="33">
        <f t="shared" si="1"/>
        <v>250</v>
      </c>
      <c r="J8" s="33">
        <f t="shared" si="2"/>
        <v>3706</v>
      </c>
      <c r="K8" s="29">
        <f t="shared" si="3"/>
        <v>6.0198495849779897E-2</v>
      </c>
      <c r="M8" s="17" t="s">
        <v>87</v>
      </c>
      <c r="N8" s="15">
        <f>COUNTIF($F$6:$F$26,"I")</f>
        <v>8</v>
      </c>
      <c r="O8" s="15">
        <f>COUNTIF($F$6:$F$26,"II")</f>
        <v>6</v>
      </c>
      <c r="P8" s="15">
        <f>COUNTIF($F$6:$F$26,"III")</f>
        <v>3</v>
      </c>
      <c r="Q8" s="15">
        <f>COUNTIF($F$6:$F$26,"IV")</f>
        <v>4</v>
      </c>
    </row>
    <row r="9" spans="1:18" ht="12.75" customHeight="1" x14ac:dyDescent="0.2">
      <c r="B9" s="15">
        <v>8</v>
      </c>
      <c r="C9" s="15" t="str">
        <f>VLOOKUP(B9,'Mitarbeiter Löhne'!$A$2:$E$22,2,0)</f>
        <v>Herr</v>
      </c>
      <c r="D9" s="15" t="str">
        <f>VLOOKUP(B9,'Mitarbeiter Löhne'!$A$2:$E$22,3,0)</f>
        <v>Bauer</v>
      </c>
      <c r="E9" s="16" t="str">
        <f>VLOOKUP(B9,'Mitarbeiter Löhne'!$A$2:$E$22,4,0)</f>
        <v>Fertigung</v>
      </c>
      <c r="F9" s="15" t="str">
        <f>VLOOKUP(B9,'Mitarbeiter Löhne'!$A$2:$E$22,5,0)</f>
        <v>IV</v>
      </c>
      <c r="G9" s="15">
        <v>150</v>
      </c>
      <c r="H9" s="33">
        <f t="shared" si="0"/>
        <v>27.5</v>
      </c>
      <c r="I9" s="33">
        <f t="shared" si="1"/>
        <v>250</v>
      </c>
      <c r="J9" s="33">
        <f t="shared" si="2"/>
        <v>4375</v>
      </c>
      <c r="K9" s="29">
        <f t="shared" si="3"/>
        <v>7.1065412666699149E-2</v>
      </c>
    </row>
    <row r="10" spans="1:18" ht="12.75" customHeight="1" x14ac:dyDescent="0.2">
      <c r="B10" s="15">
        <v>11</v>
      </c>
      <c r="C10" s="15" t="str">
        <f>VLOOKUP(B10,'Mitarbeiter Löhne'!$A$2:$E$22,2,0)</f>
        <v>Herr</v>
      </c>
      <c r="D10" s="15" t="str">
        <f>VLOOKUP(B10,'Mitarbeiter Löhne'!$A$2:$E$22,3,0)</f>
        <v>Heinze</v>
      </c>
      <c r="E10" s="16" t="str">
        <f>VLOOKUP(B10,'Mitarbeiter Löhne'!$A$2:$E$22,4,0)</f>
        <v>Verkauf</v>
      </c>
      <c r="F10" s="15" t="str">
        <f>VLOOKUP(B10,'Mitarbeiter Löhne'!$A$2:$E$22,5,0)</f>
        <v>II</v>
      </c>
      <c r="G10" s="15">
        <v>80</v>
      </c>
      <c r="H10" s="33">
        <f t="shared" si="0"/>
        <v>21.6</v>
      </c>
      <c r="I10" s="33">
        <f t="shared" si="1"/>
        <v>150</v>
      </c>
      <c r="J10" s="33">
        <f t="shared" si="2"/>
        <v>1878</v>
      </c>
      <c r="K10" s="29">
        <f t="shared" si="3"/>
        <v>3.0505335997271087E-2</v>
      </c>
    </row>
    <row r="11" spans="1:18" ht="12.75" customHeight="1" x14ac:dyDescent="0.2">
      <c r="B11" s="15">
        <v>15</v>
      </c>
      <c r="C11" s="15" t="str">
        <f>VLOOKUP(B11,'Mitarbeiter Löhne'!$A$2:$E$22,2,0)</f>
        <v>Frau</v>
      </c>
      <c r="D11" s="15" t="str">
        <f>VLOOKUP(B11,'Mitarbeiter Löhne'!$A$2:$E$22,3,0)</f>
        <v>Adam</v>
      </c>
      <c r="E11" s="16" t="str">
        <f>VLOOKUP(B11,'Mitarbeiter Löhne'!$A$2:$E$22,4,0)</f>
        <v>Fertigung</v>
      </c>
      <c r="F11" s="15" t="str">
        <f>VLOOKUP(B11,'Mitarbeiter Löhne'!$A$2:$E$22,5,0)</f>
        <v>I</v>
      </c>
      <c r="G11" s="15">
        <v>140</v>
      </c>
      <c r="H11" s="33">
        <f t="shared" si="0"/>
        <v>18.5</v>
      </c>
      <c r="I11" s="33">
        <f t="shared" si="1"/>
        <v>250</v>
      </c>
      <c r="J11" s="33">
        <f t="shared" si="2"/>
        <v>2840</v>
      </c>
      <c r="K11" s="29">
        <f t="shared" si="3"/>
        <v>4.6131605022497281E-2</v>
      </c>
      <c r="M11" s="14"/>
      <c r="N11" s="14"/>
    </row>
    <row r="12" spans="1:18" ht="12.75" customHeight="1" x14ac:dyDescent="0.2">
      <c r="B12" s="15">
        <v>17</v>
      </c>
      <c r="C12" s="15" t="str">
        <f>VLOOKUP(B12,'Mitarbeiter Löhne'!$A$2:$E$22,2,0)</f>
        <v>Herr</v>
      </c>
      <c r="D12" s="15" t="str">
        <f>VLOOKUP(B12,'Mitarbeiter Löhne'!$A$2:$E$22,3,0)</f>
        <v>Richter</v>
      </c>
      <c r="E12" s="16" t="str">
        <f>VLOOKUP(B12,'Mitarbeiter Löhne'!$A$2:$E$22,4,0)</f>
        <v>Verkauf</v>
      </c>
      <c r="F12" s="15" t="str">
        <f>VLOOKUP(B12,'Mitarbeiter Löhne'!$A$2:$E$22,5,0)</f>
        <v>I</v>
      </c>
      <c r="G12" s="15">
        <v>160</v>
      </c>
      <c r="H12" s="33">
        <f t="shared" si="0"/>
        <v>18.5</v>
      </c>
      <c r="I12" s="33">
        <f t="shared" si="1"/>
        <v>150</v>
      </c>
      <c r="J12" s="33">
        <f t="shared" si="2"/>
        <v>3110</v>
      </c>
      <c r="K12" s="29">
        <f t="shared" si="3"/>
        <v>5.0517356204213569E-2</v>
      </c>
      <c r="M12" s="22"/>
      <c r="N12" s="26" t="s">
        <v>1</v>
      </c>
      <c r="O12" s="26" t="s">
        <v>16</v>
      </c>
      <c r="P12" s="26" t="s">
        <v>12</v>
      </c>
      <c r="Q12" s="26" t="s">
        <v>2</v>
      </c>
    </row>
    <row r="13" spans="1:18" ht="12.75" customHeight="1" x14ac:dyDescent="0.2">
      <c r="B13" s="15">
        <v>18</v>
      </c>
      <c r="C13" s="15" t="str">
        <f>VLOOKUP(B13,'Mitarbeiter Löhne'!$A$2:$E$22,2,0)</f>
        <v>Herr</v>
      </c>
      <c r="D13" s="15" t="str">
        <f>VLOOKUP(B13,'Mitarbeiter Löhne'!$A$2:$E$22,3,0)</f>
        <v>Zenzer</v>
      </c>
      <c r="E13" s="16" t="str">
        <f>VLOOKUP(B13,'Mitarbeiter Löhne'!$A$2:$E$22,4,0)</f>
        <v>Einkauf</v>
      </c>
      <c r="F13" s="15" t="str">
        <f>VLOOKUP(B13,'Mitarbeiter Löhne'!$A$2:$E$22,5,0)</f>
        <v>I</v>
      </c>
      <c r="G13" s="15">
        <v>140</v>
      </c>
      <c r="H13" s="33">
        <f t="shared" si="0"/>
        <v>18.5</v>
      </c>
      <c r="I13" s="33">
        <f t="shared" si="1"/>
        <v>0</v>
      </c>
      <c r="J13" s="33">
        <f t="shared" si="2"/>
        <v>2590</v>
      </c>
      <c r="K13" s="29">
        <f t="shared" si="3"/>
        <v>4.2070724298685899E-2</v>
      </c>
      <c r="M13" s="17" t="s">
        <v>89</v>
      </c>
      <c r="N13" s="31">
        <f>SUMIF($E$6:$E$26,N12,$J$6:$J$26)</f>
        <v>14028</v>
      </c>
      <c r="O13" s="31">
        <f t="shared" ref="O13:Q13" si="4">SUMIF($E$6:$E$26,O12,$J$6:$J$26)</f>
        <v>32411</v>
      </c>
      <c r="P13" s="31">
        <f t="shared" si="4"/>
        <v>10136</v>
      </c>
      <c r="Q13" s="31">
        <f t="shared" si="4"/>
        <v>4988</v>
      </c>
    </row>
    <row r="14" spans="1:18" ht="12.75" customHeight="1" x14ac:dyDescent="0.2">
      <c r="B14" s="15">
        <v>19</v>
      </c>
      <c r="C14" s="15" t="str">
        <f>VLOOKUP(B14,'Mitarbeiter Löhne'!$A$2:$E$22,2,0)</f>
        <v>Herr</v>
      </c>
      <c r="D14" s="15" t="str">
        <f>VLOOKUP(B14,'Mitarbeiter Löhne'!$A$2:$E$22,3,0)</f>
        <v>Fröhlich</v>
      </c>
      <c r="E14" s="16" t="str">
        <f>VLOOKUP(B14,'Mitarbeiter Löhne'!$A$2:$E$22,4,0)</f>
        <v>Fertigung</v>
      </c>
      <c r="F14" s="15" t="str">
        <f>VLOOKUP(B14,'Mitarbeiter Löhne'!$A$2:$E$22,5,0)</f>
        <v>IV</v>
      </c>
      <c r="G14" s="15">
        <v>140</v>
      </c>
      <c r="H14" s="33">
        <f t="shared" si="0"/>
        <v>27.5</v>
      </c>
      <c r="I14" s="33">
        <f t="shared" si="1"/>
        <v>250</v>
      </c>
      <c r="J14" s="33">
        <f t="shared" si="2"/>
        <v>4100</v>
      </c>
      <c r="K14" s="29">
        <f t="shared" si="3"/>
        <v>6.6598443870506632E-2</v>
      </c>
      <c r="M14" s="17" t="s">
        <v>78</v>
      </c>
      <c r="N14" s="16">
        <f>SUMIF($E$6:$E$26,N12,$G$6:$G$26)</f>
        <v>630</v>
      </c>
      <c r="O14" s="16">
        <f t="shared" ref="O14:Q14" si="5">SUMIF($E$6:$E$26,O12,$G$6:$G$26)</f>
        <v>1310</v>
      </c>
      <c r="P14" s="16">
        <f t="shared" si="5"/>
        <v>470</v>
      </c>
      <c r="Q14" s="16">
        <f t="shared" si="5"/>
        <v>240</v>
      </c>
    </row>
    <row r="15" spans="1:18" ht="12.75" customHeight="1" x14ac:dyDescent="0.2">
      <c r="B15" s="15">
        <v>22</v>
      </c>
      <c r="C15" s="15" t="str">
        <f>VLOOKUP(B15,'Mitarbeiter Löhne'!$A$2:$E$22,2,0)</f>
        <v>Frau</v>
      </c>
      <c r="D15" s="15" t="str">
        <f>VLOOKUP(B15,'Mitarbeiter Löhne'!$A$2:$E$22,3,0)</f>
        <v>Wilhelm</v>
      </c>
      <c r="E15" s="16" t="str">
        <f>VLOOKUP(B15,'Mitarbeiter Löhne'!$A$2:$E$22,4,0)</f>
        <v>Fertigung</v>
      </c>
      <c r="F15" s="15" t="str">
        <f>VLOOKUP(B15,'Mitarbeiter Löhne'!$A$2:$E$22,5,0)</f>
        <v>I</v>
      </c>
      <c r="G15" s="15">
        <v>160</v>
      </c>
      <c r="H15" s="33">
        <f t="shared" si="0"/>
        <v>18.5</v>
      </c>
      <c r="I15" s="33">
        <f t="shared" si="1"/>
        <v>250</v>
      </c>
      <c r="J15" s="33">
        <f t="shared" si="2"/>
        <v>3210</v>
      </c>
      <c r="K15" s="29">
        <f t="shared" si="3"/>
        <v>5.2141708493738122E-2</v>
      </c>
      <c r="M15" s="17" t="s">
        <v>87</v>
      </c>
      <c r="N15" s="15">
        <f>COUNTIF($E$6:$E$26,N12)</f>
        <v>5</v>
      </c>
      <c r="O15" s="15">
        <f t="shared" ref="O15:Q15" si="6">COUNTIF($E$6:$E$26,O12)</f>
        <v>10</v>
      </c>
      <c r="P15" s="15">
        <f t="shared" si="6"/>
        <v>4</v>
      </c>
      <c r="Q15" s="15">
        <f t="shared" si="6"/>
        <v>2</v>
      </c>
    </row>
    <row r="16" spans="1:18" ht="12.75" customHeight="1" x14ac:dyDescent="0.2">
      <c r="B16" s="15">
        <v>25</v>
      </c>
      <c r="C16" s="15" t="str">
        <f>VLOOKUP(B16,'Mitarbeiter Löhne'!$A$2:$E$22,2,0)</f>
        <v>Frau</v>
      </c>
      <c r="D16" s="15" t="str">
        <f>VLOOKUP(B16,'Mitarbeiter Löhne'!$A$2:$E$22,3,0)</f>
        <v>Fuchs</v>
      </c>
      <c r="E16" s="16" t="str">
        <f>VLOOKUP(B16,'Mitarbeiter Löhne'!$A$2:$E$22,4,0)</f>
        <v>Fertigung</v>
      </c>
      <c r="F16" s="15" t="str">
        <f>VLOOKUP(B16,'Mitarbeiter Löhne'!$A$2:$E$22,5,0)</f>
        <v>IV</v>
      </c>
      <c r="G16" s="15">
        <v>160</v>
      </c>
      <c r="H16" s="33">
        <f t="shared" si="0"/>
        <v>27.5</v>
      </c>
      <c r="I16" s="33">
        <f t="shared" si="1"/>
        <v>250</v>
      </c>
      <c r="J16" s="33">
        <f t="shared" si="2"/>
        <v>4650</v>
      </c>
      <c r="K16" s="29">
        <f t="shared" si="3"/>
        <v>7.5532381462891665E-2</v>
      </c>
    </row>
    <row r="17" spans="2:17" ht="12.75" customHeight="1" x14ac:dyDescent="0.2">
      <c r="B17" s="15">
        <v>30</v>
      </c>
      <c r="C17" s="15" t="str">
        <f>VLOOKUP(B17,'Mitarbeiter Löhne'!$A$2:$E$22,2,0)</f>
        <v>Herr</v>
      </c>
      <c r="D17" s="15" t="str">
        <f>VLOOKUP(B17,'Mitarbeiter Löhne'!$A$2:$E$22,3,0)</f>
        <v>Paulsen</v>
      </c>
      <c r="E17" s="16" t="str">
        <f>VLOOKUP(B17,'Mitarbeiter Löhne'!$A$2:$E$22,4,0)</f>
        <v>Einkauf</v>
      </c>
      <c r="F17" s="15" t="str">
        <f>VLOOKUP(B17,'Mitarbeiter Löhne'!$A$2:$E$22,5,0)</f>
        <v>I</v>
      </c>
      <c r="G17" s="15">
        <v>80</v>
      </c>
      <c r="H17" s="33">
        <f t="shared" si="0"/>
        <v>18.5</v>
      </c>
      <c r="I17" s="33">
        <f t="shared" si="1"/>
        <v>0</v>
      </c>
      <c r="J17" s="33">
        <f t="shared" si="2"/>
        <v>1480</v>
      </c>
      <c r="K17" s="29">
        <f t="shared" si="3"/>
        <v>2.404041388496337E-2</v>
      </c>
    </row>
    <row r="18" spans="2:17" ht="12.75" customHeight="1" x14ac:dyDescent="0.2">
      <c r="B18" s="15">
        <v>31</v>
      </c>
      <c r="C18" s="15" t="str">
        <f>VLOOKUP(B18,'Mitarbeiter Löhne'!$A$2:$E$22,2,0)</f>
        <v>Frau</v>
      </c>
      <c r="D18" s="15" t="str">
        <f>VLOOKUP(B18,'Mitarbeiter Löhne'!$A$2:$E$22,3,0)</f>
        <v>Raudis</v>
      </c>
      <c r="E18" s="16" t="str">
        <f>VLOOKUP(B18,'Mitarbeiter Löhne'!$A$2:$E$22,4,0)</f>
        <v>Verwaltung</v>
      </c>
      <c r="F18" s="15" t="str">
        <f>VLOOKUP(B18,'Mitarbeiter Löhne'!$A$2:$E$22,5,0)</f>
        <v>I</v>
      </c>
      <c r="G18" s="15">
        <v>160</v>
      </c>
      <c r="H18" s="33">
        <f t="shared" si="0"/>
        <v>18.5</v>
      </c>
      <c r="I18" s="33">
        <f t="shared" si="1"/>
        <v>0</v>
      </c>
      <c r="J18" s="33">
        <f t="shared" si="2"/>
        <v>2960</v>
      </c>
      <c r="K18" s="29">
        <f t="shared" si="3"/>
        <v>4.808082776992674E-2</v>
      </c>
      <c r="M18" s="22" t="s">
        <v>90</v>
      </c>
      <c r="N18" s="26" t="s">
        <v>83</v>
      </c>
      <c r="O18" s="26" t="s">
        <v>84</v>
      </c>
      <c r="P18" s="26" t="s">
        <v>85</v>
      </c>
      <c r="Q18" s="26" t="s">
        <v>86</v>
      </c>
    </row>
    <row r="19" spans="2:17" ht="12.75" customHeight="1" x14ac:dyDescent="0.2">
      <c r="B19" s="15">
        <v>32</v>
      </c>
      <c r="C19" s="15" t="str">
        <f>VLOOKUP(B19,'Mitarbeiter Löhne'!$A$2:$E$22,2,0)</f>
        <v>Herr</v>
      </c>
      <c r="D19" s="15" t="str">
        <f>VLOOKUP(B19,'Mitarbeiter Löhne'!$A$2:$E$22,3,0)</f>
        <v>Oscas</v>
      </c>
      <c r="E19" s="16" t="str">
        <f>VLOOKUP(B19,'Mitarbeiter Löhne'!$A$2:$E$22,4,0)</f>
        <v>Verwaltung</v>
      </c>
      <c r="F19" s="15" t="str">
        <f>VLOOKUP(B19,'Mitarbeiter Löhne'!$A$2:$E$22,5,0)</f>
        <v>II</v>
      </c>
      <c r="G19" s="15">
        <v>80</v>
      </c>
      <c r="H19" s="33">
        <f t="shared" si="0"/>
        <v>21.6</v>
      </c>
      <c r="I19" s="33">
        <f t="shared" si="1"/>
        <v>0</v>
      </c>
      <c r="J19" s="33">
        <f t="shared" si="2"/>
        <v>1728</v>
      </c>
      <c r="K19" s="29">
        <f t="shared" si="3"/>
        <v>2.8068807562984261E-2</v>
      </c>
      <c r="M19" s="30" t="s">
        <v>91</v>
      </c>
      <c r="N19" s="32">
        <f>N7/N8</f>
        <v>127.5</v>
      </c>
      <c r="O19" s="32">
        <f t="shared" ref="O19:Q19" si="7">O7/O8</f>
        <v>105</v>
      </c>
      <c r="P19" s="32">
        <f t="shared" si="7"/>
        <v>150</v>
      </c>
      <c r="Q19" s="32">
        <f t="shared" si="7"/>
        <v>137.5</v>
      </c>
    </row>
    <row r="20" spans="2:17" ht="12.75" customHeight="1" x14ac:dyDescent="0.2">
      <c r="B20" s="15">
        <v>36</v>
      </c>
      <c r="C20" s="15" t="str">
        <f>VLOOKUP(B20,'Mitarbeiter Löhne'!$A$2:$E$22,2,0)</f>
        <v>Herr</v>
      </c>
      <c r="D20" s="15" t="str">
        <f>VLOOKUP(B20,'Mitarbeiter Löhne'!$A$2:$E$22,3,0)</f>
        <v>Imann</v>
      </c>
      <c r="E20" s="16" t="str">
        <f>VLOOKUP(B20,'Mitarbeiter Löhne'!$A$2:$E$22,4,0)</f>
        <v>Verwaltung</v>
      </c>
      <c r="F20" s="15" t="str">
        <f>VLOOKUP(B20,'Mitarbeiter Löhne'!$A$2:$E$22,5,0)</f>
        <v>III</v>
      </c>
      <c r="G20" s="15">
        <v>150</v>
      </c>
      <c r="H20" s="33">
        <f t="shared" si="0"/>
        <v>24.8</v>
      </c>
      <c r="I20" s="33">
        <f t="shared" si="1"/>
        <v>0</v>
      </c>
      <c r="J20" s="33">
        <f t="shared" si="2"/>
        <v>3720</v>
      </c>
      <c r="K20" s="29">
        <f t="shared" si="3"/>
        <v>6.0425905170313335E-2</v>
      </c>
    </row>
    <row r="21" spans="2:17" ht="12.75" customHeight="1" x14ac:dyDescent="0.2">
      <c r="B21" s="15">
        <v>38</v>
      </c>
      <c r="C21" s="15" t="str">
        <f>VLOOKUP(B21,'Mitarbeiter Löhne'!$A$2:$E$22,2,0)</f>
        <v>Frau</v>
      </c>
      <c r="D21" s="15" t="str">
        <f>VLOOKUP(B21,'Mitarbeiter Löhne'!$A$2:$E$22,3,0)</f>
        <v>Münch</v>
      </c>
      <c r="E21" s="16" t="str">
        <f>VLOOKUP(B21,'Mitarbeiter Löhne'!$A$2:$E$22,4,0)</f>
        <v>Fertigung</v>
      </c>
      <c r="F21" s="15" t="str">
        <f>VLOOKUP(B21,'Mitarbeiter Löhne'!$A$2:$E$22,5,0)</f>
        <v>I</v>
      </c>
      <c r="G21" s="15">
        <v>80</v>
      </c>
      <c r="H21" s="33">
        <f t="shared" si="0"/>
        <v>18.5</v>
      </c>
      <c r="I21" s="33">
        <f t="shared" si="1"/>
        <v>250</v>
      </c>
      <c r="J21" s="33">
        <f t="shared" si="2"/>
        <v>1730</v>
      </c>
      <c r="K21" s="29">
        <f t="shared" si="3"/>
        <v>2.8101294608774752E-2</v>
      </c>
      <c r="M21" s="22" t="s">
        <v>90</v>
      </c>
      <c r="N21" s="26" t="s">
        <v>1</v>
      </c>
      <c r="O21" s="26" t="s">
        <v>16</v>
      </c>
      <c r="P21" s="26" t="s">
        <v>12</v>
      </c>
      <c r="Q21" s="26" t="s">
        <v>2</v>
      </c>
    </row>
    <row r="22" spans="2:17" ht="12.75" customHeight="1" x14ac:dyDescent="0.2">
      <c r="B22" s="15">
        <v>41</v>
      </c>
      <c r="C22" s="15" t="str">
        <f>VLOOKUP(B22,'Mitarbeiter Löhne'!$A$2:$E$22,2,0)</f>
        <v>Frau</v>
      </c>
      <c r="D22" s="15" t="str">
        <f>VLOOKUP(B22,'Mitarbeiter Löhne'!$A$2:$E$22,3,0)</f>
        <v>Helm</v>
      </c>
      <c r="E22" s="16" t="str">
        <f>VLOOKUP(B22,'Mitarbeiter Löhne'!$A$2:$E$22,4,0)</f>
        <v>Fertigung</v>
      </c>
      <c r="F22" s="15" t="str">
        <f>VLOOKUP(B22,'Mitarbeiter Löhne'!$A$2:$E$22,5,0)</f>
        <v>III</v>
      </c>
      <c r="G22" s="15">
        <v>140</v>
      </c>
      <c r="H22" s="33">
        <f t="shared" si="0"/>
        <v>24.8</v>
      </c>
      <c r="I22" s="33">
        <f t="shared" si="1"/>
        <v>250</v>
      </c>
      <c r="J22" s="33">
        <f t="shared" si="2"/>
        <v>3722</v>
      </c>
      <c r="K22" s="29">
        <f t="shared" si="3"/>
        <v>6.0458392216103829E-2</v>
      </c>
      <c r="M22" s="30" t="s">
        <v>91</v>
      </c>
      <c r="N22" s="32">
        <f>N14/N15</f>
        <v>126</v>
      </c>
      <c r="O22" s="32">
        <f t="shared" ref="O22:Q22" si="8">O14/O15</f>
        <v>131</v>
      </c>
      <c r="P22" s="32">
        <f t="shared" si="8"/>
        <v>117.5</v>
      </c>
      <c r="Q22" s="32">
        <f t="shared" si="8"/>
        <v>120</v>
      </c>
    </row>
    <row r="23" spans="2:17" ht="12.75" customHeight="1" x14ac:dyDescent="0.2">
      <c r="B23" s="15">
        <v>45</v>
      </c>
      <c r="C23" s="15" t="str">
        <f>VLOOKUP(B23,'Mitarbeiter Löhne'!$A$2:$E$22,2,0)</f>
        <v>Frau</v>
      </c>
      <c r="D23" s="15" t="str">
        <f>VLOOKUP(B23,'Mitarbeiter Löhne'!$A$2:$E$22,3,0)</f>
        <v>Wolf</v>
      </c>
      <c r="E23" s="16" t="str">
        <f>VLOOKUP(B23,'Mitarbeiter Löhne'!$A$2:$E$22,4,0)</f>
        <v>Fertigung</v>
      </c>
      <c r="F23" s="15" t="str">
        <f>VLOOKUP(B23,'Mitarbeiter Löhne'!$A$2:$E$22,5,0)</f>
        <v>II</v>
      </c>
      <c r="G23" s="15">
        <v>80</v>
      </c>
      <c r="H23" s="33">
        <f t="shared" si="0"/>
        <v>21.6</v>
      </c>
      <c r="I23" s="33">
        <f t="shared" si="1"/>
        <v>250</v>
      </c>
      <c r="J23" s="33">
        <f t="shared" si="2"/>
        <v>1978</v>
      </c>
      <c r="K23" s="29">
        <f t="shared" si="3"/>
        <v>3.2129688286795639E-2</v>
      </c>
    </row>
    <row r="24" spans="2:17" ht="12.75" customHeight="1" x14ac:dyDescent="0.2">
      <c r="B24" s="15">
        <v>46</v>
      </c>
      <c r="C24" s="15" t="str">
        <f>VLOOKUP(B24,'Mitarbeiter Löhne'!$A$2:$E$22,2,0)</f>
        <v>Herr</v>
      </c>
      <c r="D24" s="15" t="str">
        <f>VLOOKUP(B24,'Mitarbeiter Löhne'!$A$2:$E$22,3,0)</f>
        <v>Tisch</v>
      </c>
      <c r="E24" s="16" t="str">
        <f>VLOOKUP(B24,'Mitarbeiter Löhne'!$A$2:$E$22,4,0)</f>
        <v>Fertigung</v>
      </c>
      <c r="F24" s="15" t="str">
        <f>VLOOKUP(B24,'Mitarbeiter Löhne'!$A$2:$E$22,5,0)</f>
        <v>I</v>
      </c>
      <c r="G24" s="15">
        <v>100</v>
      </c>
      <c r="H24" s="33">
        <f t="shared" si="0"/>
        <v>18.5</v>
      </c>
      <c r="I24" s="33">
        <f t="shared" si="1"/>
        <v>250</v>
      </c>
      <c r="J24" s="33">
        <f t="shared" si="2"/>
        <v>2100</v>
      </c>
      <c r="K24" s="29">
        <f t="shared" si="3"/>
        <v>3.4111398080015592E-2</v>
      </c>
    </row>
    <row r="25" spans="2:17" ht="12.75" customHeight="1" x14ac:dyDescent="0.2">
      <c r="B25" s="15">
        <v>48</v>
      </c>
      <c r="C25" s="15" t="str">
        <f>VLOOKUP(B25,'Mitarbeiter Löhne'!$A$2:$E$22,2,0)</f>
        <v>Herr</v>
      </c>
      <c r="D25" s="15" t="str">
        <f>VLOOKUP(B25,'Mitarbeiter Löhne'!$A$2:$E$22,3,0)</f>
        <v>Klaus</v>
      </c>
      <c r="E25" s="16" t="str">
        <f>VLOOKUP(B25,'Mitarbeiter Löhne'!$A$2:$E$22,4,0)</f>
        <v>Einkauf</v>
      </c>
      <c r="F25" s="15" t="str">
        <f>VLOOKUP(B25,'Mitarbeiter Löhne'!$A$2:$E$22,5,0)</f>
        <v>II</v>
      </c>
      <c r="G25" s="15">
        <v>150</v>
      </c>
      <c r="H25" s="33">
        <f t="shared" si="0"/>
        <v>21.6</v>
      </c>
      <c r="I25" s="33">
        <f t="shared" si="1"/>
        <v>0</v>
      </c>
      <c r="J25" s="33">
        <f t="shared" si="2"/>
        <v>3240</v>
      </c>
      <c r="K25" s="29">
        <f t="shared" si="3"/>
        <v>5.2629014180595485E-2</v>
      </c>
    </row>
    <row r="26" spans="2:17" ht="12.75" customHeight="1" x14ac:dyDescent="0.2">
      <c r="B26" s="15">
        <v>50</v>
      </c>
      <c r="C26" s="15" t="str">
        <f>VLOOKUP(B26,'Mitarbeiter Löhne'!$A$2:$E$22,2,0)</f>
        <v>Frau</v>
      </c>
      <c r="D26" s="15" t="str">
        <f>VLOOKUP(B26,'Mitarbeiter Löhne'!$A$2:$E$22,3,0)</f>
        <v>Glaser</v>
      </c>
      <c r="E26" s="16" t="str">
        <f>VLOOKUP(B26,'Mitarbeiter Löhne'!$A$2:$E$22,4,0)</f>
        <v>Einkauf</v>
      </c>
      <c r="F26" s="15" t="str">
        <f>VLOOKUP(B26,'Mitarbeiter Löhne'!$A$2:$E$22,5,0)</f>
        <v>IV</v>
      </c>
      <c r="G26" s="15">
        <v>100</v>
      </c>
      <c r="H26" s="33">
        <f t="shared" si="0"/>
        <v>27.5</v>
      </c>
      <c r="I26" s="33">
        <f t="shared" si="1"/>
        <v>0</v>
      </c>
      <c r="J26" s="33">
        <f t="shared" si="2"/>
        <v>2750</v>
      </c>
      <c r="K26" s="29">
        <f t="shared" si="3"/>
        <v>4.4669687961925185E-2</v>
      </c>
    </row>
    <row r="28" spans="2:17" ht="12.75" customHeight="1" x14ac:dyDescent="0.2">
      <c r="I28" s="27" t="s">
        <v>81</v>
      </c>
      <c r="J28" s="28">
        <f>SUM(J6:J26)</f>
        <v>61563</v>
      </c>
    </row>
    <row r="29" spans="2:17" ht="15.75" customHeight="1" x14ac:dyDescent="0.2">
      <c r="B29" s="19" t="s">
        <v>72</v>
      </c>
      <c r="C29" s="21" t="s">
        <v>77</v>
      </c>
    </row>
    <row r="30" spans="2:17" ht="12.75" customHeight="1" x14ac:dyDescent="0.2">
      <c r="B30" s="18" t="s">
        <v>73</v>
      </c>
      <c r="C30" s="20">
        <v>18.5</v>
      </c>
    </row>
    <row r="31" spans="2:17" ht="12.75" customHeight="1" x14ac:dyDescent="0.2">
      <c r="B31" s="18" t="s">
        <v>74</v>
      </c>
      <c r="C31" s="20">
        <v>21.6</v>
      </c>
    </row>
    <row r="32" spans="2:17" ht="12.75" customHeight="1" x14ac:dyDescent="0.2">
      <c r="B32" s="18" t="s">
        <v>75</v>
      </c>
      <c r="C32" s="20">
        <v>24.8</v>
      </c>
    </row>
    <row r="33" spans="2:3" ht="12.75" customHeight="1" x14ac:dyDescent="0.2">
      <c r="B33" s="18" t="s">
        <v>76</v>
      </c>
      <c r="C33" s="20">
        <v>27.5</v>
      </c>
    </row>
  </sheetData>
  <sortState ref="B6:K26">
    <sortCondition ref="B6"/>
  </sortState>
  <mergeCells count="2">
    <mergeCell ref="B2:K2"/>
    <mergeCell ref="M2:R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&amp;CVorname Nachname 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abSelected="1" workbookViewId="0">
      <selection activeCell="H21" sqref="H21"/>
    </sheetView>
  </sheetViews>
  <sheetFormatPr baseColWidth="10" defaultRowHeight="12.75" x14ac:dyDescent="0.2"/>
  <cols>
    <col min="1" max="1" width="5.7109375" customWidth="1"/>
    <col min="2" max="2" width="28.42578125" bestFit="1" customWidth="1"/>
    <col min="3" max="6" width="11.85546875" bestFit="1" customWidth="1"/>
  </cols>
  <sheetData>
    <row r="2" spans="2:6" ht="15.75" x14ac:dyDescent="0.25">
      <c r="B2" s="34" t="s">
        <v>92</v>
      </c>
      <c r="C2" s="34"/>
      <c r="D2" s="34"/>
      <c r="E2" s="34"/>
      <c r="F2" s="34"/>
    </row>
    <row r="3" spans="2:6" x14ac:dyDescent="0.2">
      <c r="B3" s="4"/>
      <c r="C3" s="4"/>
      <c r="D3" s="4"/>
      <c r="E3" s="4"/>
      <c r="F3" s="4"/>
    </row>
    <row r="4" spans="2:6" x14ac:dyDescent="0.2">
      <c r="B4" s="4"/>
      <c r="C4" s="4"/>
      <c r="D4" s="4"/>
      <c r="E4" s="4"/>
      <c r="F4" s="4"/>
    </row>
    <row r="5" spans="2:6" x14ac:dyDescent="0.2">
      <c r="B5" s="22"/>
      <c r="C5" s="26" t="s">
        <v>83</v>
      </c>
      <c r="D5" s="26" t="s">
        <v>84</v>
      </c>
      <c r="E5" s="26" t="s">
        <v>85</v>
      </c>
      <c r="F5" s="26" t="s">
        <v>86</v>
      </c>
    </row>
    <row r="6" spans="2:6" x14ac:dyDescent="0.2">
      <c r="B6" s="17" t="s">
        <v>88</v>
      </c>
      <c r="C6" s="31">
        <f>SUMIF('Stundenabrechnung Arbeiter'!$F$6:$F$26,"I",'Stundenabrechnung Arbeiter'!$J$6:$J$26)</f>
        <v>20020</v>
      </c>
      <c r="D6" s="31">
        <f>SUMIF('Stundenabrechnung Arbeiter'!$F$6:$F$26,"II",'Stundenabrechnung Arbeiter'!$J$6:$J$26)</f>
        <v>14258</v>
      </c>
      <c r="E6" s="31">
        <f>SUMIF('Stundenabrechnung Arbeiter'!$F$6:$F$26,"III",'Stundenabrechnung Arbeiter'!$J$6:$J$26)</f>
        <v>11410</v>
      </c>
      <c r="F6" s="31">
        <f>SUMIF('Stundenabrechnung Arbeiter'!$F$6:$F$26,"IV",'Stundenabrechnung Arbeiter'!$J$6:$J$26)</f>
        <v>15875</v>
      </c>
    </row>
    <row r="7" spans="2:6" x14ac:dyDescent="0.2">
      <c r="B7" s="17" t="s">
        <v>78</v>
      </c>
      <c r="C7" s="16">
        <f>SUMIF('Stundenabrechnung Arbeiter'!$F$6:$F$26,"I",'Stundenabrechnung Arbeiter'!$G$6:$G$26)</f>
        <v>1020</v>
      </c>
      <c r="D7" s="16">
        <f>SUMIF('Stundenabrechnung Arbeiter'!$F$6:$F$26,"II",'Stundenabrechnung Arbeiter'!$G$6:$G$26)</f>
        <v>630</v>
      </c>
      <c r="E7" s="16">
        <f>SUMIF('Stundenabrechnung Arbeiter'!$F$6:$F$26,"III",'Stundenabrechnung Arbeiter'!$G$6:$G$26)</f>
        <v>450</v>
      </c>
      <c r="F7" s="16">
        <f>SUMIF('Stundenabrechnung Arbeiter'!$F$6:$F$26,"IV",'Stundenabrechnung Arbeiter'!$G$6:$G$26)</f>
        <v>550</v>
      </c>
    </row>
    <row r="8" spans="2:6" x14ac:dyDescent="0.2">
      <c r="B8" s="17" t="s">
        <v>87</v>
      </c>
      <c r="C8" s="15">
        <f>COUNTIF('Stundenabrechnung Arbeiter'!$F$6:$F$26,"I")</f>
        <v>8</v>
      </c>
      <c r="D8" s="15">
        <f>COUNTIF('Stundenabrechnung Arbeiter'!$F$6:$F$26,"II")</f>
        <v>6</v>
      </c>
      <c r="E8" s="15">
        <f>COUNTIF('Stundenabrechnung Arbeiter'!$F$6:$F$26,"III")</f>
        <v>3</v>
      </c>
      <c r="F8" s="15">
        <f>COUNTIF('Stundenabrechnung Arbeiter'!$F$6:$F$26,"IV")</f>
        <v>4</v>
      </c>
    </row>
    <row r="9" spans="2:6" x14ac:dyDescent="0.2">
      <c r="B9" s="4"/>
      <c r="C9" s="4"/>
      <c r="D9" s="4"/>
      <c r="E9" s="4"/>
      <c r="F9" s="4"/>
    </row>
    <row r="10" spans="2:6" x14ac:dyDescent="0.2">
      <c r="B10" s="4"/>
      <c r="C10" s="4"/>
      <c r="D10" s="4"/>
      <c r="E10" s="4"/>
      <c r="F10" s="4"/>
    </row>
    <row r="11" spans="2:6" x14ac:dyDescent="0.2">
      <c r="B11" s="14"/>
      <c r="C11" s="14"/>
      <c r="D11" s="4"/>
      <c r="E11" s="4"/>
      <c r="F11" s="4"/>
    </row>
    <row r="12" spans="2:6" x14ac:dyDescent="0.2">
      <c r="B12" s="22"/>
      <c r="C12" s="26" t="s">
        <v>1</v>
      </c>
      <c r="D12" s="26" t="s">
        <v>16</v>
      </c>
      <c r="E12" s="26" t="s">
        <v>12</v>
      </c>
      <c r="F12" s="26" t="s">
        <v>2</v>
      </c>
    </row>
    <row r="13" spans="2:6" x14ac:dyDescent="0.2">
      <c r="B13" s="17" t="s">
        <v>89</v>
      </c>
      <c r="C13" s="31">
        <f>SUMIF('Stundenabrechnung Arbeiter'!$E$6:$E$26,Auswertung!C$12,'Stundenabrechnung Arbeiter'!$J$6:$J$26)</f>
        <v>14028</v>
      </c>
      <c r="D13" s="31">
        <f>SUMIF('Stundenabrechnung Arbeiter'!$E$6:$E$26,Auswertung!D$12,'Stundenabrechnung Arbeiter'!$J$6:$J$26)</f>
        <v>32411</v>
      </c>
      <c r="E13" s="31">
        <f>SUMIF('Stundenabrechnung Arbeiter'!$E$6:$E$26,Auswertung!E$12,'Stundenabrechnung Arbeiter'!$J$6:$J$26)</f>
        <v>10136</v>
      </c>
      <c r="F13" s="31">
        <f>SUMIF('Stundenabrechnung Arbeiter'!$E$6:$E$26,Auswertung!F$12,'Stundenabrechnung Arbeiter'!$J$6:$J$26)</f>
        <v>4988</v>
      </c>
    </row>
    <row r="14" spans="2:6" x14ac:dyDescent="0.2">
      <c r="B14" s="17" t="s">
        <v>78</v>
      </c>
      <c r="C14" s="16">
        <f>SUMIF('Stundenabrechnung Arbeiter'!$E$6:$E$26,Auswertung!C$12,'Stundenabrechnung Arbeiter'!$G$6:$G$26)</f>
        <v>630</v>
      </c>
      <c r="D14" s="16">
        <f>SUMIF('Stundenabrechnung Arbeiter'!$E$6:$E$26,Auswertung!D12,'Stundenabrechnung Arbeiter'!$G$6:$G$26)</f>
        <v>1310</v>
      </c>
      <c r="E14" s="16">
        <f>SUMIF('Stundenabrechnung Arbeiter'!$E$6:$E$26,Auswertung!E12,'Stundenabrechnung Arbeiter'!$G$6:$G$26)</f>
        <v>470</v>
      </c>
      <c r="F14" s="16">
        <f>SUMIF('Stundenabrechnung Arbeiter'!$E$6:$E$26,Auswertung!F12,'Stundenabrechnung Arbeiter'!$G$6:$G$26)</f>
        <v>240</v>
      </c>
    </row>
    <row r="15" spans="2:6" x14ac:dyDescent="0.2">
      <c r="B15" s="17" t="s">
        <v>87</v>
      </c>
      <c r="C15" s="15">
        <f>COUNTIF('Stundenabrechnung Arbeiter'!$E$6:$E$26,Auswertung!C$12)</f>
        <v>5</v>
      </c>
      <c r="D15" s="15">
        <f>COUNTIF('Stundenabrechnung Arbeiter'!$E$6:$E$26,Auswertung!D12)</f>
        <v>10</v>
      </c>
      <c r="E15" s="15">
        <f>COUNTIF('Stundenabrechnung Arbeiter'!$E$6:$E$26,Auswertung!E12)</f>
        <v>4</v>
      </c>
      <c r="F15" s="15">
        <f>COUNTIF('Stundenabrechnung Arbeiter'!$E$6:$E$26,Auswertung!F12)</f>
        <v>2</v>
      </c>
    </row>
    <row r="16" spans="2:6" x14ac:dyDescent="0.2">
      <c r="B16" s="4"/>
      <c r="C16" s="4"/>
      <c r="D16" s="4"/>
      <c r="E16" s="4"/>
      <c r="F16" s="4"/>
    </row>
    <row r="17" spans="2:6" x14ac:dyDescent="0.2">
      <c r="B17" s="4"/>
      <c r="C17" s="4"/>
      <c r="D17" s="4"/>
      <c r="E17" s="4"/>
      <c r="F17" s="4"/>
    </row>
    <row r="18" spans="2:6" x14ac:dyDescent="0.2">
      <c r="B18" s="22" t="s">
        <v>90</v>
      </c>
      <c r="C18" s="26" t="s">
        <v>83</v>
      </c>
      <c r="D18" s="26" t="s">
        <v>84</v>
      </c>
      <c r="E18" s="26" t="s">
        <v>85</v>
      </c>
      <c r="F18" s="26" t="s">
        <v>86</v>
      </c>
    </row>
    <row r="19" spans="2:6" x14ac:dyDescent="0.2">
      <c r="B19" s="30" t="s">
        <v>91</v>
      </c>
      <c r="C19" s="32">
        <f>C7/C8</f>
        <v>127.5</v>
      </c>
      <c r="D19" s="32">
        <f t="shared" ref="D19:F19" si="0">D7/D8</f>
        <v>105</v>
      </c>
      <c r="E19" s="32">
        <f t="shared" si="0"/>
        <v>150</v>
      </c>
      <c r="F19" s="32">
        <f t="shared" si="0"/>
        <v>137.5</v>
      </c>
    </row>
    <row r="20" spans="2:6" x14ac:dyDescent="0.2">
      <c r="B20" s="4"/>
      <c r="C20" s="4"/>
      <c r="D20" s="4"/>
      <c r="E20" s="4"/>
      <c r="F20" s="4"/>
    </row>
    <row r="21" spans="2:6" x14ac:dyDescent="0.2">
      <c r="B21" s="22" t="s">
        <v>90</v>
      </c>
      <c r="C21" s="26" t="s">
        <v>1</v>
      </c>
      <c r="D21" s="26" t="s">
        <v>16</v>
      </c>
      <c r="E21" s="26" t="s">
        <v>12</v>
      </c>
      <c r="F21" s="26" t="s">
        <v>2</v>
      </c>
    </row>
    <row r="22" spans="2:6" x14ac:dyDescent="0.2">
      <c r="B22" s="30" t="s">
        <v>91</v>
      </c>
      <c r="C22" s="32">
        <f>C14/C15</f>
        <v>126</v>
      </c>
      <c r="D22" s="32">
        <f t="shared" ref="D22:F22" si="1">D14/D15</f>
        <v>131</v>
      </c>
      <c r="E22" s="32">
        <f t="shared" si="1"/>
        <v>117.5</v>
      </c>
      <c r="F22" s="32">
        <f t="shared" si="1"/>
        <v>120</v>
      </c>
    </row>
    <row r="23" spans="2:6" x14ac:dyDescent="0.2">
      <c r="B23" s="4"/>
      <c r="C23" s="4"/>
      <c r="D23" s="4"/>
      <c r="E23" s="4"/>
      <c r="F23" s="4"/>
    </row>
    <row r="24" spans="2:6" x14ac:dyDescent="0.2">
      <c r="B24" s="4"/>
      <c r="C24" s="4"/>
      <c r="D24" s="4"/>
      <c r="E24" s="4"/>
      <c r="F24" s="4"/>
    </row>
  </sheetData>
  <mergeCells count="1">
    <mergeCell ref="B2:F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Formulas="1" zoomScaleNormal="100" zoomScalePageLayoutView="90" workbookViewId="0">
      <selection activeCell="D33" sqref="D33"/>
    </sheetView>
  </sheetViews>
  <sheetFormatPr baseColWidth="10" defaultColWidth="11.42578125" defaultRowHeight="12.75" customHeight="1" x14ac:dyDescent="0.2"/>
  <cols>
    <col min="1" max="1" width="1.28515625" style="5" customWidth="1"/>
    <col min="2" max="2" width="8.7109375" style="4" bestFit="1" customWidth="1"/>
    <col min="3" max="3" width="23.42578125" style="4" bestFit="1" customWidth="1"/>
    <col min="4" max="4" width="25.28515625" style="4" customWidth="1"/>
    <col min="5" max="5" width="23.42578125" style="6" bestFit="1" customWidth="1"/>
    <col min="6" max="6" width="23.42578125" style="4" bestFit="1" customWidth="1"/>
    <col min="7" max="7" width="9.140625" style="4" bestFit="1" customWidth="1"/>
    <col min="8" max="8" width="17.140625" style="4" bestFit="1" customWidth="1"/>
    <col min="9" max="9" width="26" style="4" bestFit="1" customWidth="1"/>
    <col min="10" max="10" width="8" style="4" bestFit="1" customWidth="1"/>
    <col min="11" max="11" width="9.28515625" style="4" bestFit="1" customWidth="1"/>
    <col min="12" max="12" width="1.5703125" style="4" customWidth="1"/>
    <col min="13" max="13" width="14.28515625" style="4" customWidth="1"/>
    <col min="14" max="15" width="21.85546875" style="4" bestFit="1" customWidth="1"/>
    <col min="16" max="16" width="21.7109375" style="4" bestFit="1" customWidth="1"/>
    <col min="17" max="17" width="21.85546875" style="4" bestFit="1" customWidth="1"/>
    <col min="18" max="16384" width="11.42578125" style="4"/>
  </cols>
  <sheetData>
    <row r="1" spans="1:18" ht="12.75" customHeight="1" x14ac:dyDescent="0.2">
      <c r="A1" s="5" t="s">
        <v>3</v>
      </c>
    </row>
    <row r="2" spans="1:18" ht="18" customHeight="1" x14ac:dyDescent="0.25">
      <c r="B2" s="34" t="s">
        <v>67</v>
      </c>
      <c r="C2" s="34"/>
      <c r="D2" s="34"/>
      <c r="E2" s="34"/>
      <c r="F2" s="34"/>
      <c r="G2" s="34"/>
      <c r="H2" s="34"/>
      <c r="I2" s="34"/>
      <c r="J2" s="34"/>
      <c r="K2" s="34"/>
      <c r="M2" s="34" t="s">
        <v>92</v>
      </c>
      <c r="N2" s="34"/>
      <c r="O2" s="34"/>
      <c r="P2" s="34"/>
      <c r="Q2" s="34"/>
      <c r="R2" s="34"/>
    </row>
    <row r="5" spans="1:18" ht="38.25" x14ac:dyDescent="0.2">
      <c r="B5" s="22" t="s">
        <v>68</v>
      </c>
      <c r="C5" s="23" t="s">
        <v>52</v>
      </c>
      <c r="D5" s="23" t="s">
        <v>4</v>
      </c>
      <c r="E5" s="24" t="s">
        <v>5</v>
      </c>
      <c r="F5" s="23" t="s">
        <v>70</v>
      </c>
      <c r="G5" s="26" t="s">
        <v>78</v>
      </c>
      <c r="H5" s="26" t="s">
        <v>79</v>
      </c>
      <c r="I5" s="26" t="s">
        <v>71</v>
      </c>
      <c r="J5" s="26" t="s">
        <v>80</v>
      </c>
      <c r="K5" s="26" t="s">
        <v>82</v>
      </c>
      <c r="M5" s="22"/>
      <c r="N5" s="26" t="s">
        <v>83</v>
      </c>
      <c r="O5" s="26" t="s">
        <v>84</v>
      </c>
      <c r="P5" s="26" t="s">
        <v>85</v>
      </c>
      <c r="Q5" s="26" t="s">
        <v>86</v>
      </c>
    </row>
    <row r="6" spans="1:18" ht="12.75" customHeight="1" x14ac:dyDescent="0.2">
      <c r="B6" s="15">
        <v>3</v>
      </c>
      <c r="C6" s="15" t="str">
        <f>VLOOKUP(B6,'Mitarbeiter Löhne'!$A$2:$E$22,2,0)</f>
        <v>Frau</v>
      </c>
      <c r="D6" s="15" t="str">
        <f>VLOOKUP(B6,'Mitarbeiter Löhne'!$A$2:$E$22,3,0)</f>
        <v>Zacharias</v>
      </c>
      <c r="E6" s="16" t="str">
        <f>VLOOKUP(B6,'Mitarbeiter Löhne'!$A$2:$E$22,4,0)</f>
        <v>Einkauf</v>
      </c>
      <c r="F6" s="15" t="str">
        <f>VLOOKUP(B6,'Mitarbeiter Löhne'!$A$2:$E$22,5,0)</f>
        <v>III</v>
      </c>
      <c r="G6" s="15">
        <v>160</v>
      </c>
      <c r="H6" s="20">
        <f t="shared" ref="H6:H26" si="0">VLOOKUP(F6,$B$30:$C$33,2,0)</f>
        <v>24.8</v>
      </c>
      <c r="I6" s="20">
        <f t="shared" ref="I6:I26" si="1">IF(E6="Fertigung",250,IF(E6="Verkauf",150,0))</f>
        <v>0</v>
      </c>
      <c r="J6" s="20">
        <f t="shared" ref="J6:J26" si="2">G6*H6+I6</f>
        <v>3968</v>
      </c>
      <c r="K6" s="29">
        <f t="shared" ref="K6:K26" si="3">J6/$J$28</f>
        <v>6.4928902197568444E-2</v>
      </c>
      <c r="M6" s="17" t="s">
        <v>88</v>
      </c>
      <c r="N6" s="31">
        <f>SUMIF($F$6:$F$26,"I",$J$6:$J$26)</f>
        <v>20575</v>
      </c>
      <c r="O6" s="31">
        <f>SUMIF($F$6:$F$26,"II",$J$6:$J$26)</f>
        <v>16202</v>
      </c>
      <c r="P6" s="31">
        <f>SUMIF($F$6:$F$26,"III",$J$6:$J$26)</f>
        <v>8186</v>
      </c>
      <c r="Q6" s="31">
        <f>SUMIF($F$6:$F$26,"IV",$J$6:$J$26)</f>
        <v>16150</v>
      </c>
    </row>
    <row r="7" spans="1:18" ht="12.75" customHeight="1" x14ac:dyDescent="0.2">
      <c r="B7" s="15">
        <v>5</v>
      </c>
      <c r="C7" s="15" t="str">
        <f>VLOOKUP(B7,'Mitarbeiter Löhne'!$A$2:$E$22,2,0)</f>
        <v>Herr</v>
      </c>
      <c r="D7" s="15" t="str">
        <f>VLOOKUP(B7,'Mitarbeiter Löhne'!$A$2:$E$22,3,0)</f>
        <v>Bär</v>
      </c>
      <c r="E7" s="16" t="str">
        <f>VLOOKUP(B7,'Mitarbeiter Löhne'!$A$2:$E$22,4,0)</f>
        <v>Verwaltung</v>
      </c>
      <c r="F7" s="15" t="str">
        <f>VLOOKUP(B7,'Mitarbeiter Löhne'!$A$2:$E$22,5,0)</f>
        <v>II</v>
      </c>
      <c r="G7" s="15">
        <v>80</v>
      </c>
      <c r="H7" s="20">
        <f t="shared" si="0"/>
        <v>21.6</v>
      </c>
      <c r="I7" s="20">
        <f t="shared" si="1"/>
        <v>0</v>
      </c>
      <c r="J7" s="20">
        <f t="shared" si="2"/>
        <v>1728</v>
      </c>
      <c r="K7" s="29">
        <f t="shared" si="3"/>
        <v>2.8275489666683029E-2</v>
      </c>
      <c r="M7" s="17" t="s">
        <v>78</v>
      </c>
      <c r="N7" s="16">
        <f>SUMIF($F$6:$F$26,"I",$G$6:$G$26)</f>
        <v>1050</v>
      </c>
      <c r="O7" s="16">
        <f>SUMIF($F$6:$F$26,"II",$G$6:$G$26)</f>
        <v>720</v>
      </c>
      <c r="P7" s="16">
        <f>SUMIF($F$6:$F$26,"III",$G$6:$G$26)</f>
        <v>320</v>
      </c>
      <c r="Q7" s="16">
        <f>SUMIF($F$6:$F$26,"IV",$G$6:$G$26)</f>
        <v>560</v>
      </c>
    </row>
    <row r="8" spans="1:18" ht="12.75" customHeight="1" x14ac:dyDescent="0.2">
      <c r="B8" s="15">
        <v>7</v>
      </c>
      <c r="C8" s="15" t="str">
        <f>VLOOKUP(B8,'Mitarbeiter Löhne'!$A$2:$E$22,2,0)</f>
        <v>Herr</v>
      </c>
      <c r="D8" s="15" t="str">
        <f>VLOOKUP(B8,'Mitarbeiter Löhne'!$A$2:$E$22,3,0)</f>
        <v>Strick</v>
      </c>
      <c r="E8" s="16" t="str">
        <f>VLOOKUP(B8,'Mitarbeiter Löhne'!$A$2:$E$22,4,0)</f>
        <v>Fertigung</v>
      </c>
      <c r="F8" s="15" t="str">
        <f>VLOOKUP(B8,'Mitarbeiter Löhne'!$A$2:$E$22,5,0)</f>
        <v>II</v>
      </c>
      <c r="G8" s="15">
        <v>160</v>
      </c>
      <c r="H8" s="20">
        <f t="shared" si="0"/>
        <v>21.6</v>
      </c>
      <c r="I8" s="20">
        <f t="shared" si="1"/>
        <v>250</v>
      </c>
      <c r="J8" s="20">
        <f t="shared" si="2"/>
        <v>3706</v>
      </c>
      <c r="K8" s="29">
        <f t="shared" si="3"/>
        <v>6.0641761981902374E-2</v>
      </c>
      <c r="M8" s="17" t="s">
        <v>87</v>
      </c>
      <c r="N8" s="15">
        <f>COUNTIF($F$6:$F$26,"I")</f>
        <v>8</v>
      </c>
      <c r="O8" s="15">
        <f>COUNTIF($F$6:$F$26,"II")</f>
        <v>6</v>
      </c>
      <c r="P8" s="15">
        <f>COUNTIF($F$6:$F$26,"III")</f>
        <v>3</v>
      </c>
      <c r="Q8" s="15">
        <f>COUNTIF($F$6:$F$26,"IV")</f>
        <v>4</v>
      </c>
    </row>
    <row r="9" spans="1:18" ht="12.75" customHeight="1" x14ac:dyDescent="0.2">
      <c r="B9" s="15">
        <v>8</v>
      </c>
      <c r="C9" s="15" t="str">
        <f>VLOOKUP(B9,'Mitarbeiter Löhne'!$A$2:$E$22,2,0)</f>
        <v>Herr</v>
      </c>
      <c r="D9" s="15" t="str">
        <f>VLOOKUP(B9,'Mitarbeiter Löhne'!$A$2:$E$22,3,0)</f>
        <v>Bauer</v>
      </c>
      <c r="E9" s="16" t="str">
        <f>VLOOKUP(B9,'Mitarbeiter Löhne'!$A$2:$E$22,4,0)</f>
        <v>Fertigung</v>
      </c>
      <c r="F9" s="15" t="str">
        <f>VLOOKUP(B9,'Mitarbeiter Löhne'!$A$2:$E$22,5,0)</f>
        <v>IV</v>
      </c>
      <c r="G9" s="15">
        <v>150</v>
      </c>
      <c r="H9" s="20">
        <f t="shared" si="0"/>
        <v>27.5</v>
      </c>
      <c r="I9" s="20">
        <f t="shared" si="1"/>
        <v>250</v>
      </c>
      <c r="J9" s="20">
        <f t="shared" si="2"/>
        <v>4375</v>
      </c>
      <c r="K9" s="29">
        <f t="shared" si="3"/>
        <v>7.1588696349385569E-2</v>
      </c>
    </row>
    <row r="10" spans="1:18" ht="12.75" customHeight="1" x14ac:dyDescent="0.2">
      <c r="B10" s="15">
        <v>11</v>
      </c>
      <c r="C10" s="15" t="str">
        <f>VLOOKUP(B10,'Mitarbeiter Löhne'!$A$2:$E$22,2,0)</f>
        <v>Herr</v>
      </c>
      <c r="D10" s="15" t="str">
        <f>VLOOKUP(B10,'Mitarbeiter Löhne'!$A$2:$E$22,3,0)</f>
        <v>Heinze</v>
      </c>
      <c r="E10" s="16" t="str">
        <f>VLOOKUP(B10,'Mitarbeiter Löhne'!$A$2:$E$22,4,0)</f>
        <v>Verkauf</v>
      </c>
      <c r="F10" s="15" t="str">
        <f>VLOOKUP(B10,'Mitarbeiter Löhne'!$A$2:$E$22,5,0)</f>
        <v>II</v>
      </c>
      <c r="G10" s="15">
        <v>80</v>
      </c>
      <c r="H10" s="20">
        <f t="shared" si="0"/>
        <v>21.6</v>
      </c>
      <c r="I10" s="20">
        <f t="shared" si="1"/>
        <v>150</v>
      </c>
      <c r="J10" s="20">
        <f t="shared" si="2"/>
        <v>1878</v>
      </c>
      <c r="K10" s="29">
        <f t="shared" si="3"/>
        <v>3.0729959255804819E-2</v>
      </c>
    </row>
    <row r="11" spans="1:18" ht="12.75" customHeight="1" x14ac:dyDescent="0.2">
      <c r="B11" s="15">
        <v>15</v>
      </c>
      <c r="C11" s="15" t="str">
        <f>VLOOKUP(B11,'Mitarbeiter Löhne'!$A$2:$E$22,2,0)</f>
        <v>Frau</v>
      </c>
      <c r="D11" s="15" t="str">
        <f>VLOOKUP(B11,'Mitarbeiter Löhne'!$A$2:$E$22,3,0)</f>
        <v>Adam</v>
      </c>
      <c r="E11" s="16" t="str">
        <f>VLOOKUP(B11,'Mitarbeiter Löhne'!$A$2:$E$22,4,0)</f>
        <v>Fertigung</v>
      </c>
      <c r="F11" s="15" t="str">
        <f>VLOOKUP(B11,'Mitarbeiter Löhne'!$A$2:$E$22,5,0)</f>
        <v>I</v>
      </c>
      <c r="G11" s="15">
        <v>140</v>
      </c>
      <c r="H11" s="20">
        <f t="shared" si="0"/>
        <v>18.5</v>
      </c>
      <c r="I11" s="20">
        <f t="shared" si="1"/>
        <v>250</v>
      </c>
      <c r="J11" s="20">
        <f t="shared" si="2"/>
        <v>2840</v>
      </c>
      <c r="K11" s="29">
        <f t="shared" si="3"/>
        <v>4.647129088737257E-2</v>
      </c>
      <c r="M11" s="14"/>
      <c r="N11" s="14"/>
    </row>
    <row r="12" spans="1:18" ht="12.75" customHeight="1" x14ac:dyDescent="0.2">
      <c r="B12" s="15">
        <v>17</v>
      </c>
      <c r="C12" s="15" t="str">
        <f>VLOOKUP(B12,'Mitarbeiter Löhne'!$A$2:$E$22,2,0)</f>
        <v>Herr</v>
      </c>
      <c r="D12" s="15" t="str">
        <f>VLOOKUP(B12,'Mitarbeiter Löhne'!$A$2:$E$22,3,0)</f>
        <v>Richter</v>
      </c>
      <c r="E12" s="16" t="str">
        <f>VLOOKUP(B12,'Mitarbeiter Löhne'!$A$2:$E$22,4,0)</f>
        <v>Verkauf</v>
      </c>
      <c r="F12" s="15" t="str">
        <f>VLOOKUP(B12,'Mitarbeiter Löhne'!$A$2:$E$22,5,0)</f>
        <v>I</v>
      </c>
      <c r="G12" s="15">
        <v>160</v>
      </c>
      <c r="H12" s="20">
        <f t="shared" si="0"/>
        <v>18.5</v>
      </c>
      <c r="I12" s="20">
        <f t="shared" si="1"/>
        <v>150</v>
      </c>
      <c r="J12" s="20">
        <f t="shared" si="2"/>
        <v>3110</v>
      </c>
      <c r="K12" s="29">
        <f t="shared" si="3"/>
        <v>5.0889336147791793E-2</v>
      </c>
      <c r="M12" s="22"/>
      <c r="N12" s="26" t="s">
        <v>1</v>
      </c>
      <c r="O12" s="26" t="s">
        <v>16</v>
      </c>
      <c r="P12" s="26" t="s">
        <v>12</v>
      </c>
      <c r="Q12" s="26" t="s">
        <v>2</v>
      </c>
    </row>
    <row r="13" spans="1:18" ht="12.75" customHeight="1" x14ac:dyDescent="0.2">
      <c r="B13" s="15">
        <v>18</v>
      </c>
      <c r="C13" s="15" t="str">
        <f>VLOOKUP(B13,'Mitarbeiter Löhne'!$A$2:$E$22,2,0)</f>
        <v>Herr</v>
      </c>
      <c r="D13" s="15" t="str">
        <f>VLOOKUP(B13,'Mitarbeiter Löhne'!$A$2:$E$22,3,0)</f>
        <v>Zenzer</v>
      </c>
      <c r="E13" s="16" t="str">
        <f>VLOOKUP(B13,'Mitarbeiter Löhne'!$A$2:$E$22,4,0)</f>
        <v>Einkauf</v>
      </c>
      <c r="F13" s="15" t="str">
        <f>VLOOKUP(B13,'Mitarbeiter Löhne'!$A$2:$E$22,5,0)</f>
        <v>I</v>
      </c>
      <c r="G13" s="15">
        <v>140</v>
      </c>
      <c r="H13" s="20">
        <f t="shared" si="0"/>
        <v>18.5</v>
      </c>
      <c r="I13" s="20">
        <f t="shared" si="1"/>
        <v>0</v>
      </c>
      <c r="J13" s="20">
        <f t="shared" si="2"/>
        <v>2590</v>
      </c>
      <c r="K13" s="29">
        <f t="shared" si="3"/>
        <v>4.2380508238836254E-2</v>
      </c>
      <c r="M13" s="17" t="s">
        <v>89</v>
      </c>
      <c r="N13" s="31">
        <f>SUMIF($E$6:$E$26,N12,$J$6:$J$26)</f>
        <v>14428</v>
      </c>
      <c r="O13" s="31">
        <f t="shared" ref="O13:Q13" si="4">SUMIF($E$6:$E$26,O12,$J$6:$J$26)</f>
        <v>33049</v>
      </c>
      <c r="P13" s="31">
        <f t="shared" si="4"/>
        <v>8648</v>
      </c>
      <c r="Q13" s="31">
        <f t="shared" si="4"/>
        <v>4988</v>
      </c>
    </row>
    <row r="14" spans="1:18" ht="12.75" customHeight="1" x14ac:dyDescent="0.2">
      <c r="B14" s="15">
        <v>19</v>
      </c>
      <c r="C14" s="15" t="str">
        <f>VLOOKUP(B14,'Mitarbeiter Löhne'!$A$2:$E$22,2,0)</f>
        <v>Herr</v>
      </c>
      <c r="D14" s="15" t="str">
        <f>VLOOKUP(B14,'Mitarbeiter Löhne'!$A$2:$E$22,3,0)</f>
        <v>Fröhlich</v>
      </c>
      <c r="E14" s="16" t="str">
        <f>VLOOKUP(B14,'Mitarbeiter Löhne'!$A$2:$E$22,4,0)</f>
        <v>Fertigung</v>
      </c>
      <c r="F14" s="15" t="str">
        <f>VLOOKUP(B14,'Mitarbeiter Löhne'!$A$2:$E$22,5,0)</f>
        <v>IV</v>
      </c>
      <c r="G14" s="15">
        <v>150</v>
      </c>
      <c r="H14" s="20">
        <f t="shared" si="0"/>
        <v>27.5</v>
      </c>
      <c r="I14" s="20">
        <f t="shared" si="1"/>
        <v>250</v>
      </c>
      <c r="J14" s="20">
        <f t="shared" si="2"/>
        <v>4375</v>
      </c>
      <c r="K14" s="29">
        <f t="shared" si="3"/>
        <v>7.1588696349385569E-2</v>
      </c>
      <c r="M14" s="17" t="s">
        <v>78</v>
      </c>
      <c r="N14" s="16">
        <f>SUMIF($E$6:$E$26,N12,$G$6:$G$26)</f>
        <v>660</v>
      </c>
      <c r="O14" s="16">
        <f t="shared" ref="O14:Q14" si="5">SUMIF($E$6:$E$26,O12,$G$6:$G$26)</f>
        <v>1350</v>
      </c>
      <c r="P14" s="16">
        <f t="shared" si="5"/>
        <v>400</v>
      </c>
      <c r="Q14" s="16">
        <f t="shared" si="5"/>
        <v>240</v>
      </c>
    </row>
    <row r="15" spans="1:18" ht="12.75" customHeight="1" x14ac:dyDescent="0.2">
      <c r="B15" s="15">
        <v>22</v>
      </c>
      <c r="C15" s="15" t="str">
        <f>VLOOKUP(B15,'Mitarbeiter Löhne'!$A$2:$E$22,2,0)</f>
        <v>Frau</v>
      </c>
      <c r="D15" s="15" t="str">
        <f>VLOOKUP(B15,'Mitarbeiter Löhne'!$A$2:$E$22,3,0)</f>
        <v>Wilhelm</v>
      </c>
      <c r="E15" s="16" t="str">
        <f>VLOOKUP(B15,'Mitarbeiter Löhne'!$A$2:$E$22,4,0)</f>
        <v>Fertigung</v>
      </c>
      <c r="F15" s="15" t="str">
        <f>VLOOKUP(B15,'Mitarbeiter Löhne'!$A$2:$E$22,5,0)</f>
        <v>I</v>
      </c>
      <c r="G15" s="15">
        <v>140</v>
      </c>
      <c r="H15" s="20">
        <f t="shared" si="0"/>
        <v>18.5</v>
      </c>
      <c r="I15" s="20">
        <f t="shared" si="1"/>
        <v>250</v>
      </c>
      <c r="J15" s="20">
        <f t="shared" si="2"/>
        <v>2840</v>
      </c>
      <c r="K15" s="29">
        <f t="shared" si="3"/>
        <v>4.647129088737257E-2</v>
      </c>
      <c r="M15" s="17" t="s">
        <v>87</v>
      </c>
      <c r="N15" s="15">
        <f>COUNTIF($E$6:$E$26,N12)</f>
        <v>5</v>
      </c>
      <c r="O15" s="15">
        <f t="shared" ref="O15:Q15" si="6">COUNTIF($E$6:$E$26,O12)</f>
        <v>10</v>
      </c>
      <c r="P15" s="15">
        <f t="shared" si="6"/>
        <v>4</v>
      </c>
      <c r="Q15" s="15">
        <f t="shared" si="6"/>
        <v>2</v>
      </c>
    </row>
    <row r="16" spans="1:18" ht="12.75" customHeight="1" x14ac:dyDescent="0.2">
      <c r="B16" s="15">
        <v>25</v>
      </c>
      <c r="C16" s="15" t="str">
        <f>VLOOKUP(B16,'Mitarbeiter Löhne'!$A$2:$E$22,2,0)</f>
        <v>Frau</v>
      </c>
      <c r="D16" s="15" t="str">
        <f>VLOOKUP(B16,'Mitarbeiter Löhne'!$A$2:$E$22,3,0)</f>
        <v>Fuchs</v>
      </c>
      <c r="E16" s="16" t="str">
        <f>VLOOKUP(B16,'Mitarbeiter Löhne'!$A$2:$E$22,4,0)</f>
        <v>Fertigung</v>
      </c>
      <c r="F16" s="15" t="str">
        <f>VLOOKUP(B16,'Mitarbeiter Löhne'!$A$2:$E$22,5,0)</f>
        <v>IV</v>
      </c>
      <c r="G16" s="15">
        <v>160</v>
      </c>
      <c r="H16" s="20">
        <f t="shared" si="0"/>
        <v>27.5</v>
      </c>
      <c r="I16" s="20">
        <f t="shared" si="1"/>
        <v>250</v>
      </c>
      <c r="J16" s="20">
        <f t="shared" si="2"/>
        <v>4650</v>
      </c>
      <c r="K16" s="29">
        <f t="shared" si="3"/>
        <v>7.6088557262775511E-2</v>
      </c>
    </row>
    <row r="17" spans="2:17" ht="12.75" customHeight="1" x14ac:dyDescent="0.2">
      <c r="B17" s="15">
        <v>30</v>
      </c>
      <c r="C17" s="15" t="str">
        <f>VLOOKUP(B17,'Mitarbeiter Löhne'!$A$2:$E$22,2,0)</f>
        <v>Herr</v>
      </c>
      <c r="D17" s="15" t="str">
        <f>VLOOKUP(B17,'Mitarbeiter Löhne'!$A$2:$E$22,3,0)</f>
        <v>Paulsen</v>
      </c>
      <c r="E17" s="16" t="str">
        <f>VLOOKUP(B17,'Mitarbeiter Löhne'!$A$2:$E$22,4,0)</f>
        <v>Einkauf</v>
      </c>
      <c r="F17" s="15" t="str">
        <f>VLOOKUP(B17,'Mitarbeiter Löhne'!$A$2:$E$22,5,0)</f>
        <v>I</v>
      </c>
      <c r="G17" s="15">
        <v>160</v>
      </c>
      <c r="H17" s="20">
        <f t="shared" si="0"/>
        <v>18.5</v>
      </c>
      <c r="I17" s="20">
        <f t="shared" si="1"/>
        <v>0</v>
      </c>
      <c r="J17" s="20">
        <f t="shared" si="2"/>
        <v>2960</v>
      </c>
      <c r="K17" s="29">
        <f t="shared" si="3"/>
        <v>4.8434866558670006E-2</v>
      </c>
    </row>
    <row r="18" spans="2:17" ht="12.75" customHeight="1" x14ac:dyDescent="0.2">
      <c r="B18" s="15">
        <v>31</v>
      </c>
      <c r="C18" s="15" t="str">
        <f>VLOOKUP(B18,'Mitarbeiter Löhne'!$A$2:$E$22,2,0)</f>
        <v>Frau</v>
      </c>
      <c r="D18" s="15" t="str">
        <f>VLOOKUP(B18,'Mitarbeiter Löhne'!$A$2:$E$22,3,0)</f>
        <v>Raudis</v>
      </c>
      <c r="E18" s="16" t="str">
        <f>VLOOKUP(B18,'Mitarbeiter Löhne'!$A$2:$E$22,4,0)</f>
        <v>Verwaltung</v>
      </c>
      <c r="F18" s="15" t="str">
        <f>VLOOKUP(B18,'Mitarbeiter Löhne'!$A$2:$E$22,5,0)</f>
        <v>I</v>
      </c>
      <c r="G18" s="15">
        <v>80</v>
      </c>
      <c r="H18" s="20">
        <f t="shared" si="0"/>
        <v>18.5</v>
      </c>
      <c r="I18" s="20">
        <f t="shared" si="1"/>
        <v>0</v>
      </c>
      <c r="J18" s="20">
        <f t="shared" si="2"/>
        <v>1480</v>
      </c>
      <c r="K18" s="29">
        <f t="shared" si="3"/>
        <v>2.4217433279335003E-2</v>
      </c>
      <c r="M18" s="22" t="s">
        <v>90</v>
      </c>
      <c r="N18" s="26" t="s">
        <v>83</v>
      </c>
      <c r="O18" s="26" t="s">
        <v>84</v>
      </c>
      <c r="P18" s="26" t="s">
        <v>85</v>
      </c>
      <c r="Q18" s="26" t="s">
        <v>86</v>
      </c>
    </row>
    <row r="19" spans="2:17" ht="12.75" customHeight="1" x14ac:dyDescent="0.2">
      <c r="B19" s="15">
        <v>32</v>
      </c>
      <c r="C19" s="15" t="str">
        <f>VLOOKUP(B19,'Mitarbeiter Löhne'!$A$2:$E$22,2,0)</f>
        <v>Herr</v>
      </c>
      <c r="D19" s="15" t="str">
        <f>VLOOKUP(B19,'Mitarbeiter Löhne'!$A$2:$E$22,3,0)</f>
        <v>Oscas</v>
      </c>
      <c r="E19" s="16" t="str">
        <f>VLOOKUP(B19,'Mitarbeiter Löhne'!$A$2:$E$22,4,0)</f>
        <v>Verwaltung</v>
      </c>
      <c r="F19" s="15" t="str">
        <f>VLOOKUP(B19,'Mitarbeiter Löhne'!$A$2:$E$22,5,0)</f>
        <v>II</v>
      </c>
      <c r="G19" s="15">
        <v>160</v>
      </c>
      <c r="H19" s="20">
        <f t="shared" si="0"/>
        <v>21.6</v>
      </c>
      <c r="I19" s="20">
        <f t="shared" si="1"/>
        <v>0</v>
      </c>
      <c r="J19" s="20">
        <f t="shared" si="2"/>
        <v>3456</v>
      </c>
      <c r="K19" s="29">
        <f t="shared" si="3"/>
        <v>5.6550979333366058E-2</v>
      </c>
      <c r="M19" s="30" t="s">
        <v>91</v>
      </c>
      <c r="N19" s="32">
        <f>N7/N8</f>
        <v>131.25</v>
      </c>
      <c r="O19" s="32">
        <f t="shared" ref="O19:Q19" si="7">O7/O8</f>
        <v>120</v>
      </c>
      <c r="P19" s="32">
        <f t="shared" si="7"/>
        <v>106.66666666666667</v>
      </c>
      <c r="Q19" s="32">
        <f t="shared" si="7"/>
        <v>140</v>
      </c>
    </row>
    <row r="20" spans="2:17" ht="12.75" customHeight="1" x14ac:dyDescent="0.2">
      <c r="B20" s="15">
        <v>36</v>
      </c>
      <c r="C20" s="15" t="str">
        <f>VLOOKUP(B20,'Mitarbeiter Löhne'!$A$2:$E$22,2,0)</f>
        <v>Herr</v>
      </c>
      <c r="D20" s="15" t="str">
        <f>VLOOKUP(B20,'Mitarbeiter Löhne'!$A$2:$E$22,3,0)</f>
        <v>Imann</v>
      </c>
      <c r="E20" s="16" t="str">
        <f>VLOOKUP(B20,'Mitarbeiter Löhne'!$A$2:$E$22,4,0)</f>
        <v>Verwaltung</v>
      </c>
      <c r="F20" s="15" t="str">
        <f>VLOOKUP(B20,'Mitarbeiter Löhne'!$A$2:$E$22,5,0)</f>
        <v>III</v>
      </c>
      <c r="G20" s="15">
        <v>80</v>
      </c>
      <c r="H20" s="20">
        <f t="shared" si="0"/>
        <v>24.8</v>
      </c>
      <c r="I20" s="20">
        <f t="shared" si="1"/>
        <v>0</v>
      </c>
      <c r="J20" s="20">
        <f t="shared" si="2"/>
        <v>1984</v>
      </c>
      <c r="K20" s="29">
        <f t="shared" si="3"/>
        <v>3.2464451098784222E-2</v>
      </c>
    </row>
    <row r="21" spans="2:17" ht="12.75" customHeight="1" x14ac:dyDescent="0.2">
      <c r="B21" s="15">
        <v>38</v>
      </c>
      <c r="C21" s="15" t="str">
        <f>VLOOKUP(B21,'Mitarbeiter Löhne'!$A$2:$E$22,2,0)</f>
        <v>Frau</v>
      </c>
      <c r="D21" s="15" t="str">
        <f>VLOOKUP(B21,'Mitarbeiter Löhne'!$A$2:$E$22,3,0)</f>
        <v>Münch</v>
      </c>
      <c r="E21" s="16" t="str">
        <f>VLOOKUP(B21,'Mitarbeiter Löhne'!$A$2:$E$22,4,0)</f>
        <v>Fertigung</v>
      </c>
      <c r="F21" s="15" t="str">
        <f>VLOOKUP(B21,'Mitarbeiter Löhne'!$A$2:$E$22,5,0)</f>
        <v>I</v>
      </c>
      <c r="G21" s="15">
        <v>150</v>
      </c>
      <c r="H21" s="20">
        <f t="shared" si="0"/>
        <v>18.5</v>
      </c>
      <c r="I21" s="20">
        <f t="shared" si="1"/>
        <v>250</v>
      </c>
      <c r="J21" s="20">
        <f t="shared" si="2"/>
        <v>3025</v>
      </c>
      <c r="K21" s="29">
        <f t="shared" si="3"/>
        <v>4.9498470047289446E-2</v>
      </c>
      <c r="M21" s="22" t="s">
        <v>90</v>
      </c>
      <c r="N21" s="26" t="s">
        <v>1</v>
      </c>
      <c r="O21" s="26" t="s">
        <v>16</v>
      </c>
      <c r="P21" s="26" t="s">
        <v>12</v>
      </c>
      <c r="Q21" s="26" t="s">
        <v>2</v>
      </c>
    </row>
    <row r="22" spans="2:17" ht="12.75" customHeight="1" x14ac:dyDescent="0.2">
      <c r="B22" s="15">
        <v>41</v>
      </c>
      <c r="C22" s="15" t="str">
        <f>VLOOKUP(B22,'Mitarbeiter Löhne'!$A$2:$E$22,2,0)</f>
        <v>Frau</v>
      </c>
      <c r="D22" s="15" t="str">
        <f>VLOOKUP(B22,'Mitarbeiter Löhne'!$A$2:$E$22,3,0)</f>
        <v>Helm</v>
      </c>
      <c r="E22" s="16" t="str">
        <f>VLOOKUP(B22,'Mitarbeiter Löhne'!$A$2:$E$22,4,0)</f>
        <v>Fertigung</v>
      </c>
      <c r="F22" s="15" t="str">
        <f>VLOOKUP(B22,'Mitarbeiter Löhne'!$A$2:$E$22,5,0)</f>
        <v>III</v>
      </c>
      <c r="G22" s="15">
        <v>80</v>
      </c>
      <c r="H22" s="20">
        <f t="shared" si="0"/>
        <v>24.8</v>
      </c>
      <c r="I22" s="20">
        <f t="shared" si="1"/>
        <v>250</v>
      </c>
      <c r="J22" s="20">
        <f t="shared" si="2"/>
        <v>2234</v>
      </c>
      <c r="K22" s="29">
        <f t="shared" si="3"/>
        <v>3.6555233747320538E-2</v>
      </c>
      <c r="M22" s="30" t="s">
        <v>91</v>
      </c>
      <c r="N22" s="32">
        <f>N14/N15</f>
        <v>132</v>
      </c>
      <c r="O22" s="32">
        <f t="shared" ref="O22:Q22" si="8">O14/O15</f>
        <v>135</v>
      </c>
      <c r="P22" s="32">
        <f t="shared" si="8"/>
        <v>100</v>
      </c>
      <c r="Q22" s="32">
        <f t="shared" si="8"/>
        <v>120</v>
      </c>
    </row>
    <row r="23" spans="2:17" ht="12.75" customHeight="1" x14ac:dyDescent="0.2">
      <c r="B23" s="15">
        <v>45</v>
      </c>
      <c r="C23" s="15" t="str">
        <f>VLOOKUP(B23,'Mitarbeiter Löhne'!$A$2:$E$22,2,0)</f>
        <v>Frau</v>
      </c>
      <c r="D23" s="15" t="str">
        <f>VLOOKUP(B23,'Mitarbeiter Löhne'!$A$2:$E$22,3,0)</f>
        <v>Wolf</v>
      </c>
      <c r="E23" s="16" t="str">
        <f>VLOOKUP(B23,'Mitarbeiter Löhne'!$A$2:$E$22,4,0)</f>
        <v>Fertigung</v>
      </c>
      <c r="F23" s="15" t="str">
        <f>VLOOKUP(B23,'Mitarbeiter Löhne'!$A$2:$E$22,5,0)</f>
        <v>II</v>
      </c>
      <c r="G23" s="15">
        <v>140</v>
      </c>
      <c r="H23" s="20">
        <f t="shared" si="0"/>
        <v>21.6</v>
      </c>
      <c r="I23" s="20">
        <f t="shared" si="1"/>
        <v>250</v>
      </c>
      <c r="J23" s="20">
        <f t="shared" si="2"/>
        <v>3274</v>
      </c>
      <c r="K23" s="29">
        <f t="shared" si="3"/>
        <v>5.3572889565231617E-2</v>
      </c>
    </row>
    <row r="24" spans="2:17" ht="12.75" customHeight="1" x14ac:dyDescent="0.2">
      <c r="B24" s="15">
        <v>46</v>
      </c>
      <c r="C24" s="15" t="str">
        <f>VLOOKUP(B24,'Mitarbeiter Löhne'!$A$2:$E$22,2,0)</f>
        <v>Herr</v>
      </c>
      <c r="D24" s="15" t="str">
        <f>VLOOKUP(B24,'Mitarbeiter Löhne'!$A$2:$E$22,3,0)</f>
        <v>Tisch</v>
      </c>
      <c r="E24" s="16" t="str">
        <f>VLOOKUP(B24,'Mitarbeiter Löhne'!$A$2:$E$22,4,0)</f>
        <v>Fertigung</v>
      </c>
      <c r="F24" s="15" t="str">
        <f>VLOOKUP(B24,'Mitarbeiter Löhne'!$A$2:$E$22,5,0)</f>
        <v>I</v>
      </c>
      <c r="G24" s="15">
        <v>80</v>
      </c>
      <c r="H24" s="20">
        <f t="shared" si="0"/>
        <v>18.5</v>
      </c>
      <c r="I24" s="20">
        <f t="shared" si="1"/>
        <v>250</v>
      </c>
      <c r="J24" s="20">
        <f t="shared" si="2"/>
        <v>1730</v>
      </c>
      <c r="K24" s="29">
        <f t="shared" si="3"/>
        <v>2.8308215927871319E-2</v>
      </c>
    </row>
    <row r="25" spans="2:17" ht="12.75" customHeight="1" x14ac:dyDescent="0.2">
      <c r="B25" s="15">
        <v>48</v>
      </c>
      <c r="C25" s="15" t="str">
        <f>VLOOKUP(B25,'Mitarbeiter Löhne'!$A$2:$E$22,2,0)</f>
        <v>Herr</v>
      </c>
      <c r="D25" s="15" t="str">
        <f>VLOOKUP(B25,'Mitarbeiter Löhne'!$A$2:$E$22,3,0)</f>
        <v>Klaus</v>
      </c>
      <c r="E25" s="16" t="str">
        <f>VLOOKUP(B25,'Mitarbeiter Löhne'!$A$2:$E$22,4,0)</f>
        <v>Einkauf</v>
      </c>
      <c r="F25" s="15" t="str">
        <f>VLOOKUP(B25,'Mitarbeiter Löhne'!$A$2:$E$22,5,0)</f>
        <v>II</v>
      </c>
      <c r="G25" s="15">
        <v>100</v>
      </c>
      <c r="H25" s="20">
        <f t="shared" si="0"/>
        <v>21.6</v>
      </c>
      <c r="I25" s="20">
        <f t="shared" si="1"/>
        <v>0</v>
      </c>
      <c r="J25" s="20">
        <f t="shared" si="2"/>
        <v>2160</v>
      </c>
      <c r="K25" s="29">
        <f t="shared" si="3"/>
        <v>3.5344362083353786E-2</v>
      </c>
    </row>
    <row r="26" spans="2:17" ht="12.75" customHeight="1" x14ac:dyDescent="0.2">
      <c r="B26" s="15">
        <v>50</v>
      </c>
      <c r="C26" s="15" t="str">
        <f>VLOOKUP(B26,'Mitarbeiter Löhne'!$A$2:$E$22,2,0)</f>
        <v>Frau</v>
      </c>
      <c r="D26" s="15" t="str">
        <f>VLOOKUP(B26,'Mitarbeiter Löhne'!$A$2:$E$22,3,0)</f>
        <v>Glaser</v>
      </c>
      <c r="E26" s="16" t="str">
        <f>VLOOKUP(B26,'Mitarbeiter Löhne'!$A$2:$E$22,4,0)</f>
        <v>Einkauf</v>
      </c>
      <c r="F26" s="15" t="str">
        <f>VLOOKUP(B26,'Mitarbeiter Löhne'!$A$2:$E$22,5,0)</f>
        <v>IV</v>
      </c>
      <c r="G26" s="15">
        <v>100</v>
      </c>
      <c r="H26" s="20">
        <f t="shared" si="0"/>
        <v>27.5</v>
      </c>
      <c r="I26" s="20">
        <f t="shared" si="1"/>
        <v>0</v>
      </c>
      <c r="J26" s="20">
        <f t="shared" si="2"/>
        <v>2750</v>
      </c>
      <c r="K26" s="29">
        <f t="shared" si="3"/>
        <v>4.4998609133899498E-2</v>
      </c>
    </row>
    <row r="28" spans="2:17" ht="12.75" customHeight="1" x14ac:dyDescent="0.2">
      <c r="I28" s="27" t="s">
        <v>81</v>
      </c>
      <c r="J28" s="28">
        <f>SUM(J6:J26)</f>
        <v>61113</v>
      </c>
    </row>
    <row r="29" spans="2:17" ht="15.75" customHeight="1" x14ac:dyDescent="0.2">
      <c r="B29" s="19" t="s">
        <v>72</v>
      </c>
      <c r="C29" s="21" t="s">
        <v>77</v>
      </c>
    </row>
    <row r="30" spans="2:17" ht="12.75" customHeight="1" x14ac:dyDescent="0.2">
      <c r="B30" s="18" t="s">
        <v>73</v>
      </c>
      <c r="C30" s="20">
        <v>18.5</v>
      </c>
    </row>
    <row r="31" spans="2:17" ht="12.75" customHeight="1" x14ac:dyDescent="0.2">
      <c r="B31" s="18" t="s">
        <v>74</v>
      </c>
      <c r="C31" s="20">
        <v>21.6</v>
      </c>
    </row>
    <row r="32" spans="2:17" ht="12.75" customHeight="1" x14ac:dyDescent="0.2">
      <c r="B32" s="18" t="s">
        <v>75</v>
      </c>
      <c r="C32" s="20">
        <v>24.8</v>
      </c>
    </row>
    <row r="33" spans="2:3" ht="12.75" customHeight="1" x14ac:dyDescent="0.2">
      <c r="B33" s="18" t="s">
        <v>76</v>
      </c>
      <c r="C33" s="20">
        <v>27.5</v>
      </c>
    </row>
  </sheetData>
  <mergeCells count="2">
    <mergeCell ref="B2:K2"/>
    <mergeCell ref="M2:R2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41" fitToWidth="2" orientation="landscape" r:id="rId1"/>
  <headerFooter alignWithMargins="0">
    <oddHeader>&amp;CVorname Nachname</oddHeader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d4f3a413-b4f9-412a-a1c2-9f6e8871fcf0</BSO999929>
</file>

<file path=customXml/itemProps1.xml><?xml version="1.0" encoding="utf-8"?>
<ds:datastoreItem xmlns:ds="http://schemas.openxmlformats.org/officeDocument/2006/customXml" ds:itemID="{82DE960A-D58C-4B49-B87E-60A97DA2E2B4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Mitarbeiter Löhne</vt:lpstr>
      <vt:lpstr>Mitarbeiter Gehälter</vt:lpstr>
      <vt:lpstr>Stundenabrechnung Arbeiter</vt:lpstr>
      <vt:lpstr>Auswertung</vt:lpstr>
      <vt:lpstr>Formeln Stundenabrechnung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2016-07-05T06:33:22Z</dcterms:created>
  <dcterms:modified xsi:type="dcterms:W3CDTF">2023-01-30T08:53:25Z</dcterms:modified>
</cp:coreProperties>
</file>